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ersicht" sheetId="1" r:id="rId5"/>
    <sheet state="visible" name="Liegenschaft" sheetId="2" r:id="rId6"/>
    <sheet state="visible" name="Mieter" sheetId="3" r:id="rId7"/>
    <sheet state="visible" name="Betriebskostenarten" sheetId="4" r:id="rId8"/>
    <sheet state="visible" name="Rechnungen 2026" sheetId="5" r:id="rId9"/>
    <sheet state="visible" name="Abrechnung" sheetId="6" r:id="rId10"/>
  </sheets>
  <definedNames/>
  <calcPr/>
</workbook>
</file>

<file path=xl/sharedStrings.xml><?xml version="1.0" encoding="utf-8"?>
<sst xmlns="http://schemas.openxmlformats.org/spreadsheetml/2006/main" count="414" uniqueCount="299">
  <si>
    <t>ABC HAUSVERWALTUNG GMBH</t>
  </si>
  <si>
    <t>JUNKER 16  |  103I8 berlin|  Tel: +49 221 123456-0  |  info@ABC-hausverwaltung.de  |  www.ABC-hausverwaltung.de</t>
  </si>
  <si>
    <t xml:space="preserve">  ÜBERSICHT / DASHBOARD – BETRIEBSKOSTENABRECHNUNG 2026</t>
  </si>
  <si>
    <t xml:space="preserve">  Erste Hausverwaltung GmbH  |  Musterstraße 42, 10437 Berlin  |  Wirtschaftsjahr 2026</t>
  </si>
  <si>
    <t xml:space="preserve">  Objektkennzahlen</t>
  </si>
  <si>
    <t>Objekt</t>
  </si>
  <si>
    <t>Wohn- und Geschäftshaus Musterstraße 42</t>
  </si>
  <si>
    <t>Wirtschaftsjahr</t>
  </si>
  <si>
    <t>Anzahl Wohneinheiten</t>
  </si>
  <si>
    <t>Gesamtwohnfläche (qm)</t>
  </si>
  <si>
    <t>Gesamtpersonenzahl</t>
  </si>
  <si>
    <t xml:space="preserve">  Kostenübersicht (brutto, umlagefähig)</t>
  </si>
  <si>
    <t>Σ Rechnungen brutto</t>
  </si>
  <si>
    <t>Σ Betriebskostenkatalog</t>
  </si>
  <si>
    <t>davon flächenbezogen</t>
  </si>
  <si>
    <t>davon personenbezogen</t>
  </si>
  <si>
    <t>Umlagefähige Kosten gesamt</t>
  </si>
  <si>
    <t>Kosten je qm / Jahr</t>
  </si>
  <si>
    <t>Separat (Heizung/WW, HeizkostenV)</t>
  </si>
  <si>
    <t xml:space="preserve">  Abrechnungsergebnis Mieter</t>
  </si>
  <si>
    <t>Σ Vorauszahlungen (Jahr)</t>
  </si>
  <si>
    <t>Σ Umlage auf Mieter</t>
  </si>
  <si>
    <t>Σ Saldo (Guthaben − Nachzahlung)</t>
  </si>
  <si>
    <t>Summe Nachzahlungen (Mieter zahlen)</t>
  </si>
  <si>
    <t>Summe Guthaben (Erstattung)</t>
  </si>
  <si>
    <t xml:space="preserve">  Kontrollen / Reconciliation</t>
  </si>
  <si>
    <t>Rechnungen = Katalog</t>
  </si>
  <si>
    <t>Umlage Mieter vs. Kosten (Rundungsdiff.)</t>
  </si>
  <si>
    <t>Status Rundung</t>
  </si>
  <si>
    <t>Vorauszahlungen − Umlage = Σ Saldo</t>
  </si>
  <si>
    <t>ABC  HAUSVERWALTUNG GMBH</t>
  </si>
  <si>
    <r>
      <rPr>
        <color rgb="FFFFFFFF"/>
        <sz val="8.0"/>
      </rPr>
      <t xml:space="preserve">Junker jorg 16  |  10328 berlin |  Tel: +49 221 123456-3 |  info@ABC-hausverwaltung.de  |  </t>
    </r>
    <r>
      <rPr>
        <color rgb="FF1155CC"/>
        <sz val="8.0"/>
        <u/>
      </rPr>
      <t>www.erste-hausverwaltung.de</t>
    </r>
  </si>
  <si>
    <t xml:space="preserve">  LIEGENSCHAFTSSTAMMDATEN</t>
  </si>
  <si>
    <t xml:space="preserve">  Objekt: Musterstraße 42, 10437 Berlin (Prenzlauer Berg)  |  Wirtschaftsjahr 2026</t>
  </si>
  <si>
    <t>Eigenschaft</t>
  </si>
  <si>
    <t>Wert</t>
  </si>
  <si>
    <t>Beschreibung</t>
  </si>
  <si>
    <t>Objektname</t>
  </si>
  <si>
    <t>Offizielle Bezeichnung des Objekts</t>
  </si>
  <si>
    <t>Straße / Hausnummer</t>
  </si>
  <si>
    <t>Musterstraße 42</t>
  </si>
  <si>
    <t>Adresse</t>
  </si>
  <si>
    <t>PLZ / Ort</t>
  </si>
  <si>
    <t>10437 Berlin</t>
  </si>
  <si>
    <t>Standort Prenzlauer Berg</t>
  </si>
  <si>
    <t>Gesamtanzahl der Mietparteien</t>
  </si>
  <si>
    <t>Berechnungsgrundlage Flächen-Umlageschlüssel</t>
  </si>
  <si>
    <t>Berechnungsgrundlage Personen-Umlageschlüssel</t>
  </si>
  <si>
    <t>Baujahr</t>
  </si>
  <si>
    <t>Altbau Vorderhaus, Seitenflügel und Dachgeschoss</t>
  </si>
  <si>
    <t>Eigentümer</t>
  </si>
  <si>
    <t>Immobilienbesitz GmbH und Co. KG</t>
  </si>
  <si>
    <t>Hauseigentümer</t>
  </si>
  <si>
    <t>Hausverwaltung</t>
  </si>
  <si>
    <t>ABC Hausverwaltung GmbH</t>
  </si>
  <si>
    <t>Zuständige Verwaltung</t>
  </si>
  <si>
    <t>Ansprechpartner</t>
  </si>
  <si>
    <t>Thomas Müller</t>
  </si>
  <si>
    <t>Zuständiger Verwalter</t>
  </si>
  <si>
    <t>Telefon</t>
  </si>
  <si>
    <t>+49 221 123456-10</t>
  </si>
  <si>
    <t>Direktdurchwahl</t>
  </si>
  <si>
    <t>E-Mail</t>
  </si>
  <si>
    <t>t.mueller@erste-hausverwaltung.de</t>
  </si>
  <si>
    <t>Kontaktadresse für Mieter</t>
  </si>
  <si>
    <t>Verwaltungszeitraum</t>
  </si>
  <si>
    <t>01.01.2026 – 31.12.2026</t>
  </si>
  <si>
    <t>Aktuelles Wirtschaftsjahr</t>
  </si>
  <si>
    <t>ABCGMBH</t>
  </si>
  <si>
    <r>
      <rPr>
        <color rgb="FFFFFFFF"/>
        <sz val="8.0"/>
      </rPr>
      <t xml:space="preserve">Junker 16  |  10318 Berlin |  Tel: +49 221 123456-3  |  info@ABC-hausverwaltung.de  |  </t>
    </r>
    <r>
      <rPr>
        <color rgb="FF1155CC"/>
        <sz val="8.0"/>
        <u/>
      </rPr>
      <t>www.ABC-hausverwaltung.de</t>
    </r>
  </si>
  <si>
    <t xml:space="preserve">  MIETERÜBERSICHT 2026</t>
  </si>
  <si>
    <t xml:space="preserve">  Liegenschaft: Musterstraße 42, 10437 Berlin  |  12 Wohneinheiten</t>
  </si>
  <si>
    <t>Wohnungs-Nr.</t>
  </si>
  <si>
    <t>Etage / Lage</t>
  </si>
  <si>
    <t>Mieter Name</t>
  </si>
  <si>
    <t>Wohnfläche (qm)</t>
  </si>
  <si>
    <t>Personen-
zahl</t>
  </si>
  <si>
    <t>Einzugsdatum</t>
  </si>
  <si>
    <t>E-Mail Adresse</t>
  </si>
  <si>
    <t>BK-Voraus-
zahlung / Monat</t>
  </si>
  <si>
    <t>BK-Voraus-
zahlung / Jahr</t>
  </si>
  <si>
    <t>WE 01</t>
  </si>
  <si>
    <t>EG links</t>
  </si>
  <si>
    <t>Hans-Dieter Schulz</t>
  </si>
  <si>
    <t>hd.schulz@web.de</t>
  </si>
  <si>
    <t>WE 02</t>
  </si>
  <si>
    <t>EG rechts</t>
  </si>
  <si>
    <t>Aylin Yilmaz</t>
  </si>
  <si>
    <t>aylin.yilmaz90@gmail.com</t>
  </si>
  <si>
    <t>WE 03</t>
  </si>
  <si>
    <t>1. OG links</t>
  </si>
  <si>
    <t>Dr. Michael Schmidt</t>
  </si>
  <si>
    <t>m.schmidt@charite.de</t>
  </si>
  <si>
    <t>WE 04</t>
  </si>
  <si>
    <t>1. OG rechts</t>
  </si>
  <si>
    <t>Sarah Connor</t>
  </si>
  <si>
    <t>sarah.connor@gmx.net</t>
  </si>
  <si>
    <t>WE 05</t>
  </si>
  <si>
    <t>2. OG links</t>
  </si>
  <si>
    <t>Mehmet und Emine Avci</t>
  </si>
  <si>
    <t>avci.family@outlook.com</t>
  </si>
  <si>
    <t>WE 06</t>
  </si>
  <si>
    <t>2. OG rechts</t>
  </si>
  <si>
    <t>John Smith</t>
  </si>
  <si>
    <t>john.smith.berlin@icloud.com</t>
  </si>
  <si>
    <t>WE 07</t>
  </si>
  <si>
    <t>3. OG links</t>
  </si>
  <si>
    <t>Sabine Fischer</t>
  </si>
  <si>
    <t>fischer.sabine@t-online.de</t>
  </si>
  <si>
    <t>WE 08</t>
  </si>
  <si>
    <t>3. OG rechts</t>
  </si>
  <si>
    <t>David Levinson</t>
  </si>
  <si>
    <t>dlevinson@posteo.de</t>
  </si>
  <si>
    <t>WE 09</t>
  </si>
  <si>
    <t>4. OG links</t>
  </si>
  <si>
    <t>Familie Nguyen</t>
  </si>
  <si>
    <t>thi.nguyen@gmx.de</t>
  </si>
  <si>
    <t>WE 10</t>
  </si>
  <si>
    <t>4. OG rechts</t>
  </si>
  <si>
    <t>Klaus Berger</t>
  </si>
  <si>
    <t>k.berger@web.de</t>
  </si>
  <si>
    <t>WE 11</t>
  </si>
  <si>
    <t>DG links</t>
  </si>
  <si>
    <t>Isabella Romano</t>
  </si>
  <si>
    <t>isabella.romano@gmail.com</t>
  </si>
  <si>
    <t>WE 12</t>
  </si>
  <si>
    <t>DG rechts</t>
  </si>
  <si>
    <t>Oluwaseun Adeyemi</t>
  </si>
  <si>
    <t>o.adeyemi@outlook.com</t>
  </si>
  <si>
    <t>GESAMT</t>
  </si>
  <si>
    <r>
      <rPr>
        <color rgb="FFFFFFFF"/>
        <sz val="8.0"/>
      </rPr>
      <t xml:space="preserve">Junker 16  |  10318 Berlin  |  Tel: +49 221 123456-3  |  info@ABC-hausverwaltung.de  |  </t>
    </r>
    <r>
      <rPr>
        <color rgb="FF1155CC"/>
        <sz val="8.0"/>
        <u/>
      </rPr>
      <t>www.erste-hausverwaltung.de</t>
    </r>
  </si>
  <si>
    <t xml:space="preserve">  BETRIEBSKOSTENKATALOG nach § 2 BetrKV</t>
  </si>
  <si>
    <t xml:space="preserve">  Jahreskosten Ist = automatische Summe aus Rechnungseingangsbuch (brutto)  |  Wirtschaftsjahr 2026</t>
  </si>
  <si>
    <t>Pos-Nr.</t>
  </si>
  <si>
    <t>Betriebskostenart nach BetrKV</t>
  </si>
  <si>
    <t>Gesetzliche Grundlage</t>
  </si>
  <si>
    <t>Umlage-
schlüssel</t>
  </si>
  <si>
    <t>Jahreskosten Ist (brutto)</t>
  </si>
  <si>
    <t>Umlage-
fähig?</t>
  </si>
  <si>
    <t>Erläuterung</t>
  </si>
  <si>
    <t>Laufende öffentliche Lasten (Grundsteuer)</t>
  </si>
  <si>
    <t>§ 2 Nr. 1 BetrKV</t>
  </si>
  <si>
    <t>Fläche</t>
  </si>
  <si>
    <t>Ja</t>
  </si>
  <si>
    <t>Grundsteuer B, Finanzamt Berlin (quartalsweise)</t>
  </si>
  <si>
    <t>Wasserversorgung</t>
  </si>
  <si>
    <t>§ 2 Nr. 2 BetrKV</t>
  </si>
  <si>
    <t>Personen</t>
  </si>
  <si>
    <t>Berliner Wasserbetriebe – Frischwasser</t>
  </si>
  <si>
    <t>Entwässerung (Abwasser)</t>
  </si>
  <si>
    <t>§ 2 Nr. 3 BetrKV</t>
  </si>
  <si>
    <t>Berliner Wasserbetriebe – Kanalisation</t>
  </si>
  <si>
    <t>Betrieb der Heizung</t>
  </si>
  <si>
    <t>§ 2 Nr. 4a BetrKV</t>
  </si>
  <si>
    <t>Separat</t>
  </si>
  <si>
    <t>Separat über Heizkostenabrechnung (HeizkostenV)</t>
  </si>
  <si>
    <t>Betrieb der Warmwasserversorgung</t>
  </si>
  <si>
    <t>§ 2 Nr. 5a BetrKV</t>
  </si>
  <si>
    <t>Verbundene Heiz- und Warmwasseranlagen</t>
  </si>
  <si>
    <t>§ 2 Nr. 6 BetrKV</t>
  </si>
  <si>
    <t>In Pos. 4 und 5 enthalten</t>
  </si>
  <si>
    <t>Betrieb des Personenaufzugs</t>
  </si>
  <si>
    <t>§ 2 Nr. 7 BetrKV</t>
  </si>
  <si>
    <t>Wartungsvertrag und Notrufschaltung</t>
  </si>
  <si>
    <t>Straßenreinigung und Müllabfuhr</t>
  </si>
  <si>
    <t>§ 2 Nr. 8 BetrKV</t>
  </si>
  <si>
    <t>BSR Berliner Stadtreinigung – Turnusabholung</t>
  </si>
  <si>
    <t>Gebäudereinigung und Ungezieferbekämpfung</t>
  </si>
  <si>
    <t>§ 2 Nr. 9 BetrKV</t>
  </si>
  <si>
    <t>Hausreinigung Flur, Keller und Dachboden</t>
  </si>
  <si>
    <t>Gartenpflege</t>
  </si>
  <si>
    <t>§ 2 Nr. 10 BetrKV</t>
  </si>
  <si>
    <t>Pflege Innenhof, Rasenschnitt, Laubentsorgung</t>
  </si>
  <si>
    <t>Beleuchtung (Allgemeinstrom)</t>
  </si>
  <si>
    <t>§ 2 Nr. 11 BetrKV</t>
  </si>
  <si>
    <t>Treppenhaus, Keller, Außenbereich, Hof</t>
  </si>
  <si>
    <t>Schornsteinreinigung</t>
  </si>
  <si>
    <t>§ 2 Nr. 12 BetrKV</t>
  </si>
  <si>
    <t>Kehr- und Überprüfungsgebühren</t>
  </si>
  <si>
    <t>Sach- und Haftpflichtversicherung</t>
  </si>
  <si>
    <t>§ 2 Nr. 13 BetrKV</t>
  </si>
  <si>
    <t>Gebäude-, Haftpflicht-, Leitungswasserversicherung</t>
  </si>
  <si>
    <t>Hauswart (Hausmeister)</t>
  </si>
  <si>
    <t>§ 2 Nr. 14 BetrKV</t>
  </si>
  <si>
    <t>Schließdienst, Mülltonnenbereitstellung (ohne Reparaturen)</t>
  </si>
  <si>
    <t>Gemeinschaftliche Antennenanlage / Kabel</t>
  </si>
  <si>
    <t>§ 2 Nr. 15 BetrKV</t>
  </si>
  <si>
    <t>Breitbandkabelanschluss Pauschale</t>
  </si>
  <si>
    <t>Einrichtungen für die Wäschepflege</t>
  </si>
  <si>
    <t>§ 2 Nr. 16 BetrKV</t>
  </si>
  <si>
    <t>Nein</t>
  </si>
  <si>
    <t>Nicht vorhanden im Objekt</t>
  </si>
  <si>
    <t>Sonstige Betriebskosten</t>
  </si>
  <si>
    <t>§ 2 Nr. 17 BetrKV</t>
  </si>
  <si>
    <t>Rauchwarnmelder-Wartung, Dachrinnenreinigung</t>
  </si>
  <si>
    <t>Junker 16  |  10318 berlin  |  Tel: +49 221 123456-3  |  info@ABC-hausverwaltung.de  |  www.ABChausverwaltung.de</t>
  </si>
  <si>
    <t xml:space="preserve">  RECHNUNGSEINGANGSBUCH 2026</t>
  </si>
  <si>
    <t xml:space="preserve">  Ist-Kosten (brutto = umlagefähig)  |  Musterstraße 42, 10437 Berlin</t>
  </si>
  <si>
    <t>Rechnungs-ID</t>
  </si>
  <si>
    <t>Kreditor / Lieferant</t>
  </si>
  <si>
    <t>Kostenkategorie</t>
  </si>
  <si>
    <t>Rechnungs-
datum</t>
  </si>
  <si>
    <t>Leistungs-
zeitraum</t>
  </si>
  <si>
    <t>Nettobetrag</t>
  </si>
  <si>
    <t>MwSt-
Satz</t>
  </si>
  <si>
    <t>MwSt-Betrag</t>
  </si>
  <si>
    <t>Bruttobetrag</t>
  </si>
  <si>
    <t>Zahlungs-
status</t>
  </si>
  <si>
    <t>RE-2026-001</t>
  </si>
  <si>
    <t>BSR Berliner Stadtreinigung</t>
  </si>
  <si>
    <t>08 - Müllabfuhr</t>
  </si>
  <si>
    <t>Q1/2026</t>
  </si>
  <si>
    <t>Bezahlt</t>
  </si>
  <si>
    <t>RE-2026-002</t>
  </si>
  <si>
    <t>Finanzamt Berlin</t>
  </si>
  <si>
    <t>01 - Grundsteuer</t>
  </si>
  <si>
    <t>RE-2026-003</t>
  </si>
  <si>
    <t>Berliner Wasserbetriebe</t>
  </si>
  <si>
    <t>02 - Wasserversorgung</t>
  </si>
  <si>
    <t>Jan-Feb 2026</t>
  </si>
  <si>
    <t>RE-2026-004</t>
  </si>
  <si>
    <t>03 - Abwasser</t>
  </si>
  <si>
    <t>RE-2026-005</t>
  </si>
  <si>
    <t>BlitzBlank Gebäudeservice GmbH</t>
  </si>
  <si>
    <t>09 - Gebäudereinigung</t>
  </si>
  <si>
    <t>Februar 2026</t>
  </si>
  <si>
    <t>RE-2026-006</t>
  </si>
  <si>
    <t>Vattenfall Europe Sales GmbH</t>
  </si>
  <si>
    <t>11 - Allgemeinstrom</t>
  </si>
  <si>
    <t>RE-2026-007</t>
  </si>
  <si>
    <t>Allianz Versicherungs-AG</t>
  </si>
  <si>
    <t>13 - Versicherung</t>
  </si>
  <si>
    <t>Jahr 2026</t>
  </si>
  <si>
    <t>RE-2026-008</t>
  </si>
  <si>
    <t>Grün und Schön Gartenbau</t>
  </si>
  <si>
    <t>10 - Gartenpflege</t>
  </si>
  <si>
    <t>Frühjahrspflege</t>
  </si>
  <si>
    <t>RE-2026-009</t>
  </si>
  <si>
    <t>Berliner Schornsteinfegerbetrieb</t>
  </si>
  <si>
    <t>12 - Schornsteinfeger</t>
  </si>
  <si>
    <t>Feuerstättenschau 2026</t>
  </si>
  <si>
    <t>RE-2026-010</t>
  </si>
  <si>
    <t>Hausmeisterdienst K. Krause</t>
  </si>
  <si>
    <t>14 - Hauswart</t>
  </si>
  <si>
    <t>Q1+Q2 2026</t>
  </si>
  <si>
    <t>RE-2026-011</t>
  </si>
  <si>
    <t>Otis Aufzüge GmbH</t>
  </si>
  <si>
    <t>07 - Personenaufzug</t>
  </si>
  <si>
    <t>Wartung H1 2026</t>
  </si>
  <si>
    <t>RE-2026-012</t>
  </si>
  <si>
    <t>Q2/2026</t>
  </si>
  <si>
    <t>RE-2026-013</t>
  </si>
  <si>
    <t>Rauchmelder-Service Berlin</t>
  </si>
  <si>
    <t>17 - Sonstige Betriebskosten</t>
  </si>
  <si>
    <t>Jahreswartung 2026</t>
  </si>
  <si>
    <t>RE-2026-014</t>
  </si>
  <si>
    <t>Q2+Q3 2026</t>
  </si>
  <si>
    <t>RE-2026-015</t>
  </si>
  <si>
    <t>Mrz-Aug 2026</t>
  </si>
  <si>
    <t>RE-2026-016</t>
  </si>
  <si>
    <t>RE-2026-017</t>
  </si>
  <si>
    <t>Mrz-Sep 2026</t>
  </si>
  <si>
    <t>RE-2026-018</t>
  </si>
  <si>
    <t>RE-2026-019</t>
  </si>
  <si>
    <t>Herbstpflege 2026</t>
  </si>
  <si>
    <t>RE-2026-020</t>
  </si>
  <si>
    <t>Q3/2026</t>
  </si>
  <si>
    <t>RE-2026-021</t>
  </si>
  <si>
    <t>Wartung H2 2026</t>
  </si>
  <si>
    <t>RE-2026-022</t>
  </si>
  <si>
    <t>Q3+Q4 2026</t>
  </si>
  <si>
    <t>RE-2026-023</t>
  </si>
  <si>
    <t>Q4/2026</t>
  </si>
  <si>
    <t>RE-2026-024</t>
  </si>
  <si>
    <t>Vodafone Deutschland GmbH</t>
  </si>
  <si>
    <t>15 - Kabelfernsehen</t>
  </si>
  <si>
    <t>RE-2026-025</t>
  </si>
  <si>
    <t>RE-2026-026</t>
  </si>
  <si>
    <t>Sep-Dez 2026</t>
  </si>
  <si>
    <t>RE-2026-027</t>
  </si>
  <si>
    <t>RE-2026-028</t>
  </si>
  <si>
    <t>Dachrinnen-Service Berlin</t>
  </si>
  <si>
    <t>Herbstreinigung 2026</t>
  </si>
  <si>
    <t>RE-2026-029</t>
  </si>
  <si>
    <t>Okt-Dez 2026</t>
  </si>
  <si>
    <t>RE-2026-030</t>
  </si>
  <si>
    <r>
      <rPr>
        <color rgb="FFFFFFFF"/>
        <sz val="8.0"/>
      </rPr>
      <t xml:space="preserve">junker 16  |  10318  berlin  |  Tel: +49 221 123456-3 |  info@ABC-hausverwaltung.de  |  </t>
    </r>
    <r>
      <rPr>
        <color rgb="FF1155CC"/>
        <sz val="8.0"/>
        <u/>
      </rPr>
      <t>www.ABC-hausverwaltung.de</t>
    </r>
  </si>
  <si>
    <t xml:space="preserve">  BETRIEBSKOSTENABRECHNUNG 2026 – MIETERSALDEN</t>
  </si>
  <si>
    <t xml:space="preserve">  Automatische Umlage (Fläche + Personen) gegen Vorauszahlungen  |  Musterstraße 42, 10437 Berlin</t>
  </si>
  <si>
    <t>Mieter</t>
  </si>
  <si>
    <t>Wohnung</t>
  </si>
  <si>
    <t>Flächen-
anteil</t>
  </si>
  <si>
    <t>Personen-
anteil</t>
  </si>
  <si>
    <t>Anteil flächen-
bez. Kosten</t>
  </si>
  <si>
    <t>Anteil personen-
bez. Kosten</t>
  </si>
  <si>
    <t>Umlagefähige
Kosten gesamt</t>
  </si>
  <si>
    <t>Voraus-
zahlung</t>
  </si>
  <si>
    <t>Saldo</t>
  </si>
  <si>
    <t>Ergebnis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</si>
</sst>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 &quot;€&quot;"/>
    <numFmt numFmtId="165" formatCode="DD.MM.YYYY"/>
  </numFmts>
  <fonts count="13">
    <font>
      <sz val="11.0"/>
      <color theme="1"/>
      <name val="Calibri"/>
      <scheme val="minor"/>
    </font>
    <font>
      <b/>
      <sz val="14.0"/>
      <color rgb="FFFFFFFF"/>
      <name val="Calibri"/>
      <scheme val="minor"/>
    </font>
    <font/>
    <font>
      <sz val="8.0"/>
      <color rgb="FFFFFFFF"/>
      <name val="Calibri"/>
      <scheme val="minor"/>
    </font>
    <font>
      <b/>
      <sz val="12.0"/>
      <color rgb="FF1F3A5F"/>
      <name val="Calibri"/>
      <scheme val="minor"/>
    </font>
    <font>
      <i/>
      <sz val="9.0"/>
      <color rgb="FF333333"/>
      <name val="Calibri"/>
      <scheme val="minor"/>
    </font>
    <font>
      <b/>
      <sz val="11.0"/>
      <color rgb="FFFFFFFF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Calibri"/>
      <scheme val="minor"/>
    </font>
    <font>
      <u/>
      <sz val="8.0"/>
      <color rgb="FFFFFFFF"/>
    </font>
    <font>
      <b/>
      <sz val="10.0"/>
      <color rgb="FFFFFFFF"/>
      <name val="Calibri"/>
      <scheme val="minor"/>
    </font>
    <font>
      <i/>
      <color rgb="FF555555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1F3A5F"/>
        <bgColor rgb="FF1F3A5F"/>
      </patternFill>
    </fill>
    <fill>
      <patternFill patternType="solid">
        <fgColor rgb="FF2E5984"/>
        <bgColor rgb="FF2E5984"/>
      </patternFill>
    </fill>
    <fill>
      <patternFill patternType="solid">
        <fgColor rgb="FFC8A45C"/>
        <bgColor rgb="FFC8A45C"/>
      </patternFill>
    </fill>
    <fill>
      <patternFill patternType="solid">
        <fgColor rgb="FFEAF0F6"/>
        <bgColor rgb="FFEAF0F6"/>
      </patternFill>
    </fill>
    <fill>
      <patternFill patternType="solid">
        <fgColor rgb="FFF5F8FB"/>
        <bgColor rgb="FFF5F8FB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9D4E0"/>
      </left>
      <right style="thin">
        <color rgb="FFC9D4E0"/>
      </right>
      <top style="thin">
        <color rgb="FFC9D4E0"/>
      </top>
      <bottom style="thin">
        <color rgb="FFC9D4E0"/>
      </bottom>
    </border>
    <border>
      <left style="thin">
        <color rgb="FFC9D4E0"/>
      </left>
      <top style="thin">
        <color rgb="FFC9D4E0"/>
      </top>
      <bottom style="thin">
        <color rgb="FFC9D4E0"/>
      </bottom>
    </border>
    <border>
      <top style="thin">
        <color rgb="FFC9D4E0"/>
      </top>
      <bottom style="thin">
        <color rgb="FFC9D4E0"/>
      </bottom>
    </border>
    <border>
      <right style="thin">
        <color rgb="FFC9D4E0"/>
      </right>
      <top style="thin">
        <color rgb="FFC9D4E0"/>
      </top>
      <bottom style="thin">
        <color rgb="FFC9D4E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 vertical="center"/>
    </xf>
    <xf borderId="1" fillId="4" fontId="4" numFmtId="0" xfId="0" applyBorder="1" applyFill="1" applyFont="1"/>
    <xf borderId="1" fillId="5" fontId="5" numFmtId="0" xfId="0" applyBorder="1" applyFill="1" applyFont="1"/>
    <xf borderId="1" fillId="3" fontId="6" numFmtId="0" xfId="0" applyBorder="1" applyFont="1"/>
    <xf borderId="4" fillId="0" fontId="7" numFmtId="0" xfId="0" applyBorder="1" applyFont="1"/>
    <xf borderId="4" fillId="0" fontId="8" numFmtId="0" xfId="0" applyBorder="1" applyFont="1"/>
    <xf borderId="4" fillId="0" fontId="8" numFmtId="1" xfId="0" applyBorder="1" applyFont="1" applyNumberFormat="1"/>
    <xf borderId="4" fillId="0" fontId="8" numFmtId="4" xfId="0" applyBorder="1" applyFont="1" applyNumberFormat="1"/>
    <xf borderId="5" fillId="3" fontId="6" numFmtId="0" xfId="0" applyBorder="1" applyFont="1"/>
    <xf borderId="6" fillId="0" fontId="2" numFmtId="0" xfId="0" applyBorder="1" applyFont="1"/>
    <xf borderId="7" fillId="0" fontId="2" numFmtId="0" xfId="0" applyBorder="1" applyFont="1"/>
    <xf borderId="4" fillId="0" fontId="8" numFmtId="164" xfId="0" applyBorder="1" applyFont="1" applyNumberFormat="1"/>
    <xf borderId="4" fillId="0" fontId="9" numFmtId="0" xfId="0" applyBorder="1" applyFont="1"/>
    <xf borderId="4" fillId="0" fontId="9" numFmtId="164" xfId="0" applyBorder="1" applyFont="1" applyNumberFormat="1"/>
    <xf borderId="1" fillId="3" fontId="10" numFmtId="0" xfId="0" applyAlignment="1" applyBorder="1" applyFont="1">
      <alignment readingOrder="0" vertical="center"/>
    </xf>
    <xf borderId="4" fillId="3" fontId="11" numFmtId="0" xfId="0" applyAlignment="1" applyBorder="1" applyFont="1">
      <alignment horizontal="center" shrinkToFit="0" vertical="center" wrapText="1"/>
    </xf>
    <xf borderId="4" fillId="0" fontId="12" numFmtId="0" xfId="0" applyBorder="1" applyFont="1"/>
    <xf borderId="4" fillId="6" fontId="9" numFmtId="0" xfId="0" applyBorder="1" applyFill="1" applyFont="1"/>
    <xf borderId="4" fillId="6" fontId="8" numFmtId="0" xfId="0" applyBorder="1" applyFont="1"/>
    <xf borderId="4" fillId="6" fontId="12" numFmtId="0" xfId="0" applyBorder="1" applyFont="1"/>
    <xf borderId="4" fillId="6" fontId="8" numFmtId="1" xfId="0" applyBorder="1" applyFont="1" applyNumberFormat="1"/>
    <xf borderId="4" fillId="0" fontId="8" numFmtId="0" xfId="0" applyAlignment="1" applyBorder="1" applyFont="1">
      <alignment readingOrder="0"/>
    </xf>
    <xf borderId="4" fillId="0" fontId="8" numFmtId="0" xfId="0" applyAlignment="1" applyBorder="1" applyFont="1">
      <alignment horizontal="center"/>
    </xf>
    <xf borderId="4" fillId="0" fontId="8" numFmtId="165" xfId="0" applyBorder="1" applyFont="1" applyNumberFormat="1"/>
    <xf borderId="4" fillId="6" fontId="8" numFmtId="4" xfId="0" applyBorder="1" applyFont="1" applyNumberFormat="1"/>
    <xf borderId="4" fillId="6" fontId="8" numFmtId="0" xfId="0" applyAlignment="1" applyBorder="1" applyFont="1">
      <alignment horizontal="center"/>
    </xf>
    <xf borderId="4" fillId="6" fontId="8" numFmtId="165" xfId="0" applyBorder="1" applyFont="1" applyNumberFormat="1"/>
    <xf borderId="4" fillId="6" fontId="8" numFmtId="164" xfId="0" applyBorder="1" applyFont="1" applyNumberFormat="1"/>
    <xf borderId="0" fillId="0" fontId="9" numFmtId="0" xfId="0" applyFont="1"/>
    <xf borderId="4" fillId="4" fontId="9" numFmtId="4" xfId="0" applyBorder="1" applyFont="1" applyNumberFormat="1"/>
    <xf borderId="4" fillId="4" fontId="9" numFmtId="1" xfId="0" applyBorder="1" applyFont="1" applyNumberFormat="1"/>
    <xf borderId="4" fillId="4" fontId="9" numFmtId="164" xfId="0" applyBorder="1" applyFont="1" applyNumberFormat="1"/>
    <xf borderId="4" fillId="0" fontId="8" numFmtId="9" xfId="0" applyAlignment="1" applyBorder="1" applyFont="1" applyNumberFormat="1">
      <alignment horizontal="center"/>
    </xf>
    <xf borderId="4" fillId="6" fontId="8" numFmtId="9" xfId="0" applyAlignment="1" applyBorder="1" applyFont="1" applyNumberFormat="1">
      <alignment horizontal="center"/>
    </xf>
    <xf borderId="4" fillId="0" fontId="8" numFmtId="10" xfId="0" applyBorder="1" applyFont="1" applyNumberFormat="1"/>
    <xf borderId="4" fillId="6" fontId="8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erste-hausverwaltung.de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abc-hausverwaltung.de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erste-hausverwaltung.de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abc-hausverwaltung.de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8.0"/>
    <col customWidth="1" min="2" max="2" width="42.0"/>
    <col customWidth="1" min="3" max="4" width="4.0"/>
    <col customWidth="1" min="5" max="26" width="8.71"/>
  </cols>
  <sheetData>
    <row r="1" ht="21.75" customHeight="1">
      <c r="A1" s="1" t="s">
        <v>0</v>
      </c>
      <c r="B1" s="2"/>
      <c r="C1" s="2"/>
      <c r="D1" s="3"/>
    </row>
    <row r="2" ht="13.5" customHeight="1">
      <c r="A2" s="4" t="s">
        <v>1</v>
      </c>
      <c r="B2" s="2"/>
      <c r="C2" s="2"/>
      <c r="D2" s="3"/>
    </row>
    <row r="3" ht="18.0" customHeight="1">
      <c r="A3" s="5" t="s">
        <v>2</v>
      </c>
      <c r="B3" s="2"/>
      <c r="C3" s="2"/>
      <c r="D3" s="3"/>
    </row>
    <row r="4">
      <c r="A4" s="6" t="s">
        <v>3</v>
      </c>
      <c r="B4" s="2"/>
      <c r="C4" s="2"/>
      <c r="D4" s="3"/>
    </row>
    <row r="6">
      <c r="A6" s="7" t="s">
        <v>4</v>
      </c>
      <c r="B6" s="2"/>
      <c r="C6" s="2"/>
      <c r="D6" s="3"/>
    </row>
    <row r="7">
      <c r="A7" s="8" t="s">
        <v>5</v>
      </c>
      <c r="B7" s="9" t="s">
        <v>6</v>
      </c>
    </row>
    <row r="8">
      <c r="A8" s="8" t="s">
        <v>7</v>
      </c>
      <c r="B8" s="10">
        <v>2026.0</v>
      </c>
    </row>
    <row r="9">
      <c r="A9" s="8" t="s">
        <v>8</v>
      </c>
      <c r="B9" s="10">
        <f>COUNTA(Mieter!A6:A17)</f>
        <v>12</v>
      </c>
    </row>
    <row r="10">
      <c r="A10" s="8" t="s">
        <v>9</v>
      </c>
      <c r="B10" s="11">
        <f>Mieter!D18</f>
        <v>882</v>
      </c>
    </row>
    <row r="11">
      <c r="A11" s="8" t="s">
        <v>10</v>
      </c>
      <c r="B11" s="10">
        <f>Mieter!E18</f>
        <v>24</v>
      </c>
    </row>
    <row r="12">
      <c r="B12" s="9"/>
    </row>
    <row r="13">
      <c r="A13" s="12" t="s">
        <v>11</v>
      </c>
      <c r="B13" s="13"/>
      <c r="C13" s="13"/>
      <c r="D13" s="14"/>
    </row>
    <row r="14">
      <c r="A14" s="8" t="s">
        <v>12</v>
      </c>
      <c r="B14" s="15">
        <f>SUM('Rechnungen 2026'!J6:J35)</f>
        <v>30060.73</v>
      </c>
    </row>
    <row r="15">
      <c r="A15" s="8" t="s">
        <v>13</v>
      </c>
      <c r="B15" s="15">
        <f>SUM(Betriebskostenarten!E6:E22)</f>
        <v>30060.73</v>
      </c>
    </row>
    <row r="16">
      <c r="A16" s="8" t="s">
        <v>14</v>
      </c>
      <c r="B16" s="15">
        <f>SUMIF(Betriebskostenarten!$D$6:$D$22,"Fläche",Betriebskostenarten!$E$6:$E$22)</f>
        <v>20832.97</v>
      </c>
    </row>
    <row r="17">
      <c r="A17" s="8" t="s">
        <v>15</v>
      </c>
      <c r="B17" s="15">
        <f>SUMIF(Betriebskostenarten!$D$6:$D$22,"Personen",Betriebskostenarten!$E$6:$E$22)</f>
        <v>9227.76</v>
      </c>
    </row>
    <row r="18">
      <c r="A18" s="16" t="s">
        <v>16</v>
      </c>
      <c r="B18" s="17">
        <f>B16+B17</f>
        <v>30060.73</v>
      </c>
    </row>
    <row r="19">
      <c r="A19" s="8" t="s">
        <v>17</v>
      </c>
      <c r="B19" s="15">
        <f>B18/B10</f>
        <v>34.08246032</v>
      </c>
    </row>
    <row r="20">
      <c r="A20" s="8" t="s">
        <v>18</v>
      </c>
      <c r="B20" s="15">
        <f>SUMIF(Betriebskostenarten!$D$6:$D$22,"Separat",Betriebskostenarten!$E$6:$E$22)</f>
        <v>0</v>
      </c>
    </row>
    <row r="21" ht="15.75" customHeight="1">
      <c r="B21" s="9"/>
    </row>
    <row r="22" ht="15.75" customHeight="1">
      <c r="A22" s="12" t="s">
        <v>19</v>
      </c>
      <c r="B22" s="13"/>
      <c r="C22" s="13"/>
      <c r="D22" s="14"/>
    </row>
    <row r="23" ht="15.75" customHeight="1">
      <c r="A23" s="8" t="s">
        <v>20</v>
      </c>
      <c r="B23" s="15">
        <f>Mieter!I18</f>
        <v>29580</v>
      </c>
    </row>
    <row r="24" ht="15.75" customHeight="1">
      <c r="A24" s="8" t="s">
        <v>21</v>
      </c>
      <c r="B24" s="15">
        <f>Abrechnung!I18</f>
        <v>30060.73</v>
      </c>
    </row>
    <row r="25" ht="15.75" customHeight="1">
      <c r="A25" s="8" t="s">
        <v>22</v>
      </c>
      <c r="B25" s="15">
        <f>Abrechnung!K18</f>
        <v>-480.73</v>
      </c>
    </row>
    <row r="26" ht="15.75" customHeight="1">
      <c r="A26" s="8" t="s">
        <v>23</v>
      </c>
      <c r="B26" s="15">
        <f>SUMIF(Abrechnung!K6:K17,"&lt;0")</f>
        <v>-1994.15</v>
      </c>
    </row>
    <row r="27" ht="15.75" customHeight="1">
      <c r="A27" s="8" t="s">
        <v>24</v>
      </c>
      <c r="B27" s="15">
        <f>SUMIF(Abrechnung!K6:K17,"&gt;0")</f>
        <v>1513.42</v>
      </c>
    </row>
    <row r="28" ht="15.75" customHeight="1">
      <c r="B28" s="9"/>
    </row>
    <row r="29" ht="15.75" customHeight="1">
      <c r="A29" s="12" t="s">
        <v>25</v>
      </c>
      <c r="B29" s="13"/>
      <c r="C29" s="13"/>
      <c r="D29" s="14"/>
    </row>
    <row r="30" ht="15.75" customHeight="1">
      <c r="A30" s="16" t="s">
        <v>26</v>
      </c>
      <c r="B30" s="9" t="str">
        <f>IF(ROUND(B14-B15,2)=0,"✓ OK","✗ Abweichung")</f>
        <v>✓ OK</v>
      </c>
    </row>
    <row r="31" ht="15.75" customHeight="1">
      <c r="A31" s="16" t="s">
        <v>27</v>
      </c>
      <c r="B31" s="15">
        <f>ROUND(B18-B24,2)</f>
        <v>0</v>
      </c>
    </row>
    <row r="32" ht="15.75" customHeight="1">
      <c r="A32" s="16" t="s">
        <v>28</v>
      </c>
      <c r="B32" s="9" t="str">
        <f>IF(ABS(B18-B24)&lt;0.1,"✓ im Rundungsrahmen","✗ prüfen")</f>
        <v>✓ im Rundungsrahmen</v>
      </c>
    </row>
    <row r="33" ht="15.75" customHeight="1">
      <c r="A33" s="16" t="s">
        <v>29</v>
      </c>
      <c r="B33" s="9" t="str">
        <f>IF(ROUND(B23-B24-B25,2)=0,"✓ OK","✗ prüfen")</f>
        <v>✓ OK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D1"/>
    <mergeCell ref="A2:D2"/>
    <mergeCell ref="A3:D3"/>
    <mergeCell ref="A4:D4"/>
    <mergeCell ref="A6:D6"/>
    <mergeCell ref="A13:D13"/>
    <mergeCell ref="A22:D22"/>
    <mergeCell ref="A29:D29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4.0"/>
    <col customWidth="1" min="2" max="2" width="44.0"/>
    <col customWidth="1" min="3" max="3" width="46.0"/>
    <col customWidth="1" min="4" max="26" width="8.71"/>
  </cols>
  <sheetData>
    <row r="1" ht="21.75" customHeight="1">
      <c r="A1" s="1" t="s">
        <v>30</v>
      </c>
      <c r="B1" s="2"/>
      <c r="C1" s="3"/>
    </row>
    <row r="2" ht="13.5" customHeight="1">
      <c r="A2" s="18" t="s">
        <v>31</v>
      </c>
      <c r="B2" s="2"/>
      <c r="C2" s="3"/>
    </row>
    <row r="3" ht="18.0" customHeight="1">
      <c r="A3" s="5" t="s">
        <v>32</v>
      </c>
      <c r="B3" s="2"/>
      <c r="C3" s="3"/>
    </row>
    <row r="4">
      <c r="A4" s="6" t="s">
        <v>33</v>
      </c>
      <c r="B4" s="2"/>
      <c r="C4" s="3"/>
    </row>
    <row r="5" ht="30.0" customHeight="1">
      <c r="A5" s="19" t="s">
        <v>34</v>
      </c>
      <c r="B5" s="19" t="s">
        <v>35</v>
      </c>
      <c r="C5" s="19" t="s">
        <v>36</v>
      </c>
    </row>
    <row r="6">
      <c r="A6" s="16" t="s">
        <v>37</v>
      </c>
      <c r="B6" s="9" t="s">
        <v>6</v>
      </c>
      <c r="C6" s="20" t="s">
        <v>38</v>
      </c>
    </row>
    <row r="7">
      <c r="A7" s="21" t="s">
        <v>39</v>
      </c>
      <c r="B7" s="22" t="s">
        <v>40</v>
      </c>
      <c r="C7" s="23" t="s">
        <v>41</v>
      </c>
    </row>
    <row r="8">
      <c r="A8" s="16" t="s">
        <v>42</v>
      </c>
      <c r="B8" s="9" t="s">
        <v>43</v>
      </c>
      <c r="C8" s="20" t="s">
        <v>44</v>
      </c>
    </row>
    <row r="9">
      <c r="A9" s="21" t="s">
        <v>8</v>
      </c>
      <c r="B9" s="22">
        <f>COUNTA(Mieter!A6:A17)</f>
        <v>12</v>
      </c>
      <c r="C9" s="23" t="s">
        <v>45</v>
      </c>
    </row>
    <row r="10">
      <c r="A10" s="16" t="s">
        <v>9</v>
      </c>
      <c r="B10" s="11">
        <f>Mieter!D18</f>
        <v>882</v>
      </c>
      <c r="C10" s="20" t="s">
        <v>46</v>
      </c>
    </row>
    <row r="11">
      <c r="A11" s="21" t="s">
        <v>10</v>
      </c>
      <c r="B11" s="24">
        <f>Mieter!E18</f>
        <v>24</v>
      </c>
      <c r="C11" s="23" t="s">
        <v>47</v>
      </c>
    </row>
    <row r="12">
      <c r="A12" s="16" t="s">
        <v>48</v>
      </c>
      <c r="B12" s="9">
        <v>1905.0</v>
      </c>
      <c r="C12" s="20" t="s">
        <v>49</v>
      </c>
    </row>
    <row r="13">
      <c r="A13" s="21" t="s">
        <v>50</v>
      </c>
      <c r="B13" s="22" t="s">
        <v>51</v>
      </c>
      <c r="C13" s="23" t="s">
        <v>52</v>
      </c>
    </row>
    <row r="14">
      <c r="A14" s="16" t="s">
        <v>53</v>
      </c>
      <c r="B14" s="25" t="s">
        <v>54</v>
      </c>
      <c r="C14" s="20" t="s">
        <v>55</v>
      </c>
    </row>
    <row r="15">
      <c r="A15" s="21" t="s">
        <v>56</v>
      </c>
      <c r="B15" s="22" t="s">
        <v>57</v>
      </c>
      <c r="C15" s="23" t="s">
        <v>58</v>
      </c>
    </row>
    <row r="16">
      <c r="A16" s="16" t="s">
        <v>59</v>
      </c>
      <c r="B16" s="9" t="s">
        <v>60</v>
      </c>
      <c r="C16" s="20" t="s">
        <v>61</v>
      </c>
    </row>
    <row r="17">
      <c r="A17" s="21" t="s">
        <v>62</v>
      </c>
      <c r="B17" s="22" t="s">
        <v>63</v>
      </c>
      <c r="C17" s="23" t="s">
        <v>64</v>
      </c>
    </row>
    <row r="18">
      <c r="A18" s="16" t="s">
        <v>65</v>
      </c>
      <c r="B18" s="9" t="s">
        <v>66</v>
      </c>
      <c r="C18" s="20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2:C2"/>
    <mergeCell ref="A3:C3"/>
    <mergeCell ref="A4:C4"/>
  </mergeCells>
  <hyperlinks>
    <hyperlink r:id="rId1" ref="A2"/>
  </hyperlinks>
  <printOptions/>
  <pageMargins bottom="1.0" footer="0.0" header="0.0" left="0.75" right="0.75" top="1.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1.0"/>
    <col customWidth="1" min="2" max="2" width="13.0"/>
    <col customWidth="1" min="3" max="3" width="26.0"/>
    <col customWidth="1" min="4" max="4" width="13.0"/>
    <col customWidth="1" min="5" max="5" width="9.0"/>
    <col customWidth="1" min="6" max="6" width="13.0"/>
    <col customWidth="1" min="7" max="7" width="30.0"/>
    <col customWidth="1" min="8" max="9" width="14.0"/>
    <col customWidth="1" min="10" max="26" width="8.71"/>
  </cols>
  <sheetData>
    <row r="1" ht="21.75" customHeight="1">
      <c r="A1" s="1" t="s">
        <v>68</v>
      </c>
      <c r="B1" s="2"/>
      <c r="C1" s="2"/>
      <c r="D1" s="2"/>
      <c r="E1" s="2"/>
      <c r="F1" s="2"/>
      <c r="G1" s="2"/>
      <c r="H1" s="2"/>
      <c r="I1" s="3"/>
    </row>
    <row r="2" ht="13.5" customHeight="1">
      <c r="A2" s="18" t="s">
        <v>69</v>
      </c>
      <c r="B2" s="2"/>
      <c r="C2" s="2"/>
      <c r="D2" s="2"/>
      <c r="E2" s="2"/>
      <c r="F2" s="2"/>
      <c r="G2" s="2"/>
      <c r="H2" s="2"/>
      <c r="I2" s="3"/>
    </row>
    <row r="3" ht="18.0" customHeight="1">
      <c r="A3" s="5" t="s">
        <v>70</v>
      </c>
      <c r="B3" s="2"/>
      <c r="C3" s="2"/>
      <c r="D3" s="2"/>
      <c r="E3" s="2"/>
      <c r="F3" s="2"/>
      <c r="G3" s="2"/>
      <c r="H3" s="2"/>
      <c r="I3" s="3"/>
    </row>
    <row r="4">
      <c r="A4" s="6" t="s">
        <v>71</v>
      </c>
      <c r="B4" s="2"/>
      <c r="C4" s="2"/>
      <c r="D4" s="2"/>
      <c r="E4" s="2"/>
      <c r="F4" s="2"/>
      <c r="G4" s="2"/>
      <c r="H4" s="2"/>
      <c r="I4" s="3"/>
    </row>
    <row r="5" ht="30.0" customHeight="1">
      <c r="A5" s="19" t="s">
        <v>72</v>
      </c>
      <c r="B5" s="19" t="s">
        <v>73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</row>
    <row r="6">
      <c r="A6" s="9" t="s">
        <v>81</v>
      </c>
      <c r="B6" s="9" t="s">
        <v>82</v>
      </c>
      <c r="C6" s="9" t="s">
        <v>83</v>
      </c>
      <c r="D6" s="11">
        <v>65.0</v>
      </c>
      <c r="E6" s="26">
        <v>1.0</v>
      </c>
      <c r="F6" s="27">
        <v>43174.0</v>
      </c>
      <c r="G6" s="9" t="s">
        <v>84</v>
      </c>
      <c r="H6" s="15">
        <v>180.0</v>
      </c>
      <c r="I6" s="15">
        <f t="shared" ref="I6:I17" si="1">H6*12</f>
        <v>2160</v>
      </c>
    </row>
    <row r="7">
      <c r="A7" s="22" t="s">
        <v>85</v>
      </c>
      <c r="B7" s="22" t="s">
        <v>86</v>
      </c>
      <c r="C7" s="22" t="s">
        <v>87</v>
      </c>
      <c r="D7" s="28">
        <v>48.0</v>
      </c>
      <c r="E7" s="29">
        <v>2.0</v>
      </c>
      <c r="F7" s="30">
        <v>44501.0</v>
      </c>
      <c r="G7" s="22" t="s">
        <v>88</v>
      </c>
      <c r="H7" s="31">
        <v>140.0</v>
      </c>
      <c r="I7" s="31">
        <f t="shared" si="1"/>
        <v>1680</v>
      </c>
    </row>
    <row r="8">
      <c r="A8" s="9" t="s">
        <v>89</v>
      </c>
      <c r="B8" s="9" t="s">
        <v>90</v>
      </c>
      <c r="C8" s="9" t="s">
        <v>91</v>
      </c>
      <c r="D8" s="11">
        <v>85.0</v>
      </c>
      <c r="E8" s="26">
        <v>2.0</v>
      </c>
      <c r="F8" s="27">
        <v>41030.0</v>
      </c>
      <c r="G8" s="9" t="s">
        <v>92</v>
      </c>
      <c r="H8" s="15">
        <v>230.0</v>
      </c>
      <c r="I8" s="15">
        <f t="shared" si="1"/>
        <v>2760</v>
      </c>
    </row>
    <row r="9">
      <c r="A9" s="22" t="s">
        <v>93</v>
      </c>
      <c r="B9" s="22" t="s">
        <v>94</v>
      </c>
      <c r="C9" s="22" t="s">
        <v>95</v>
      </c>
      <c r="D9" s="28">
        <v>72.0</v>
      </c>
      <c r="E9" s="29">
        <v>1.0</v>
      </c>
      <c r="F9" s="30">
        <v>45184.0</v>
      </c>
      <c r="G9" s="22" t="s">
        <v>96</v>
      </c>
      <c r="H9" s="31">
        <v>210.0</v>
      </c>
      <c r="I9" s="31">
        <f t="shared" si="1"/>
        <v>2520</v>
      </c>
    </row>
    <row r="10">
      <c r="A10" s="9" t="s">
        <v>97</v>
      </c>
      <c r="B10" s="9" t="s">
        <v>98</v>
      </c>
      <c r="C10" s="9" t="s">
        <v>99</v>
      </c>
      <c r="D10" s="11">
        <v>90.0</v>
      </c>
      <c r="E10" s="26">
        <v>4.0</v>
      </c>
      <c r="F10" s="27">
        <v>42036.0</v>
      </c>
      <c r="G10" s="9" t="s">
        <v>100</v>
      </c>
      <c r="H10" s="15">
        <v>240.0</v>
      </c>
      <c r="I10" s="15">
        <f t="shared" si="1"/>
        <v>2880</v>
      </c>
    </row>
    <row r="11">
      <c r="A11" s="22" t="s">
        <v>101</v>
      </c>
      <c r="B11" s="22" t="s">
        <v>102</v>
      </c>
      <c r="C11" s="22" t="s">
        <v>103</v>
      </c>
      <c r="D11" s="28">
        <v>55.0</v>
      </c>
      <c r="E11" s="29">
        <v>1.0</v>
      </c>
      <c r="F11" s="30">
        <v>45474.0</v>
      </c>
      <c r="G11" s="22" t="s">
        <v>104</v>
      </c>
      <c r="H11" s="31">
        <v>160.0</v>
      </c>
      <c r="I11" s="31">
        <f t="shared" si="1"/>
        <v>1920</v>
      </c>
    </row>
    <row r="12">
      <c r="A12" s="9" t="s">
        <v>105</v>
      </c>
      <c r="B12" s="9" t="s">
        <v>106</v>
      </c>
      <c r="C12" s="9" t="s">
        <v>107</v>
      </c>
      <c r="D12" s="11">
        <v>95.0</v>
      </c>
      <c r="E12" s="26">
        <v>3.0</v>
      </c>
      <c r="F12" s="27">
        <v>40280.0</v>
      </c>
      <c r="G12" s="9" t="s">
        <v>108</v>
      </c>
      <c r="H12" s="15">
        <v>270.0</v>
      </c>
      <c r="I12" s="15">
        <f t="shared" si="1"/>
        <v>3240</v>
      </c>
    </row>
    <row r="13">
      <c r="A13" s="22" t="s">
        <v>109</v>
      </c>
      <c r="B13" s="22" t="s">
        <v>110</v>
      </c>
      <c r="C13" s="22" t="s">
        <v>111</v>
      </c>
      <c r="D13" s="28">
        <v>75.0</v>
      </c>
      <c r="E13" s="29">
        <v>2.0</v>
      </c>
      <c r="F13" s="30">
        <v>44835.0</v>
      </c>
      <c r="G13" s="22" t="s">
        <v>112</v>
      </c>
      <c r="H13" s="31">
        <v>200.0</v>
      </c>
      <c r="I13" s="31">
        <f t="shared" si="1"/>
        <v>2400</v>
      </c>
    </row>
    <row r="14">
      <c r="A14" s="9" t="s">
        <v>113</v>
      </c>
      <c r="B14" s="9" t="s">
        <v>114</v>
      </c>
      <c r="C14" s="9" t="s">
        <v>115</v>
      </c>
      <c r="D14" s="11">
        <v>70.0</v>
      </c>
      <c r="E14" s="26">
        <v>3.0</v>
      </c>
      <c r="F14" s="27">
        <v>43678.0</v>
      </c>
      <c r="G14" s="9" t="s">
        <v>116</v>
      </c>
      <c r="H14" s="15">
        <v>195.0</v>
      </c>
      <c r="I14" s="15">
        <f t="shared" si="1"/>
        <v>2340</v>
      </c>
    </row>
    <row r="15">
      <c r="A15" s="22" t="s">
        <v>117</v>
      </c>
      <c r="B15" s="22" t="s">
        <v>118</v>
      </c>
      <c r="C15" s="22" t="s">
        <v>119</v>
      </c>
      <c r="D15" s="28">
        <v>62.0</v>
      </c>
      <c r="E15" s="29">
        <v>1.0</v>
      </c>
      <c r="F15" s="30">
        <v>42430.0</v>
      </c>
      <c r="G15" s="22" t="s">
        <v>120</v>
      </c>
      <c r="H15" s="31">
        <v>175.0</v>
      </c>
      <c r="I15" s="31">
        <f t="shared" si="1"/>
        <v>2100</v>
      </c>
    </row>
    <row r="16">
      <c r="A16" s="9" t="s">
        <v>121</v>
      </c>
      <c r="B16" s="9" t="s">
        <v>122</v>
      </c>
      <c r="C16" s="9" t="s">
        <v>123</v>
      </c>
      <c r="D16" s="11">
        <v>105.0</v>
      </c>
      <c r="E16" s="26">
        <v>2.0</v>
      </c>
      <c r="F16" s="27">
        <v>44301.0</v>
      </c>
      <c r="G16" s="9" t="s">
        <v>124</v>
      </c>
      <c r="H16" s="15">
        <v>300.0</v>
      </c>
      <c r="I16" s="15">
        <f t="shared" si="1"/>
        <v>3600</v>
      </c>
    </row>
    <row r="17">
      <c r="A17" s="22" t="s">
        <v>125</v>
      </c>
      <c r="B17" s="22" t="s">
        <v>126</v>
      </c>
      <c r="C17" s="22" t="s">
        <v>127</v>
      </c>
      <c r="D17" s="28">
        <v>60.0</v>
      </c>
      <c r="E17" s="29">
        <v>2.0</v>
      </c>
      <c r="F17" s="30">
        <v>44936.0</v>
      </c>
      <c r="G17" s="22" t="s">
        <v>128</v>
      </c>
      <c r="H17" s="31">
        <v>165.0</v>
      </c>
      <c r="I17" s="31">
        <f t="shared" si="1"/>
        <v>1980</v>
      </c>
    </row>
    <row r="18">
      <c r="C18" s="32" t="s">
        <v>129</v>
      </c>
      <c r="D18" s="33">
        <f t="shared" ref="D18:E18" si="2">SUM(D6:D17)</f>
        <v>882</v>
      </c>
      <c r="E18" s="34">
        <f t="shared" si="2"/>
        <v>24</v>
      </c>
      <c r="H18" s="35">
        <f t="shared" ref="H18:I18" si="3">SUM(H6:H17)</f>
        <v>2465</v>
      </c>
      <c r="I18" s="35">
        <f t="shared" si="3"/>
        <v>29580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I1"/>
    <mergeCell ref="A2:I2"/>
    <mergeCell ref="A3:I3"/>
    <mergeCell ref="A4:I4"/>
  </mergeCells>
  <hyperlinks>
    <hyperlink r:id="rId1" ref="A2"/>
  </hyperlinks>
  <printOptions/>
  <pageMargins bottom="1.0" footer="0.0" header="0.0" left="0.75" right="0.75" top="1.0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0"/>
    <col customWidth="1" min="2" max="2" width="40.0"/>
    <col customWidth="1" min="3" max="3" width="20.0"/>
    <col customWidth="1" min="4" max="4" width="12.0"/>
    <col customWidth="1" min="5" max="5" width="16.0"/>
    <col customWidth="1" min="6" max="6" width="10.0"/>
    <col customWidth="1" min="7" max="7" width="42.0"/>
    <col customWidth="1" min="8" max="26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3"/>
    </row>
    <row r="2" ht="13.5" customHeight="1">
      <c r="A2" s="18" t="s">
        <v>130</v>
      </c>
      <c r="B2" s="2"/>
      <c r="C2" s="2"/>
      <c r="D2" s="2"/>
      <c r="E2" s="2"/>
      <c r="F2" s="2"/>
      <c r="G2" s="3"/>
    </row>
    <row r="3" ht="18.0" customHeight="1">
      <c r="A3" s="5" t="s">
        <v>131</v>
      </c>
      <c r="B3" s="2"/>
      <c r="C3" s="2"/>
      <c r="D3" s="2"/>
      <c r="E3" s="2"/>
      <c r="F3" s="2"/>
      <c r="G3" s="3"/>
    </row>
    <row r="4">
      <c r="A4" s="6" t="s">
        <v>132</v>
      </c>
      <c r="B4" s="2"/>
      <c r="C4" s="2"/>
      <c r="D4" s="2"/>
      <c r="E4" s="2"/>
      <c r="F4" s="2"/>
      <c r="G4" s="3"/>
    </row>
    <row r="5" ht="30.0" customHeight="1">
      <c r="A5" s="19" t="s">
        <v>133</v>
      </c>
      <c r="B5" s="19" t="s">
        <v>134</v>
      </c>
      <c r="C5" s="19" t="s">
        <v>135</v>
      </c>
      <c r="D5" s="19" t="s">
        <v>136</v>
      </c>
      <c r="E5" s="19" t="s">
        <v>137</v>
      </c>
      <c r="F5" s="19" t="s">
        <v>138</v>
      </c>
      <c r="G5" s="19" t="s">
        <v>139</v>
      </c>
    </row>
    <row r="6">
      <c r="A6" s="26">
        <v>1.0</v>
      </c>
      <c r="B6" s="9" t="s">
        <v>140</v>
      </c>
      <c r="C6" s="9" t="s">
        <v>141</v>
      </c>
      <c r="D6" s="26" t="s">
        <v>142</v>
      </c>
      <c r="E6" s="15">
        <f>ROUND(SUMIF('Rechnungen 2026'!$C$6:$C$35,A6,'Rechnungen 2026'!$J$6:$J$35),2)</f>
        <v>3450</v>
      </c>
      <c r="F6" s="26" t="s">
        <v>143</v>
      </c>
      <c r="G6" s="9" t="s">
        <v>144</v>
      </c>
    </row>
    <row r="7">
      <c r="A7" s="29">
        <v>2.0</v>
      </c>
      <c r="B7" s="22" t="s">
        <v>145</v>
      </c>
      <c r="C7" s="22" t="s">
        <v>146</v>
      </c>
      <c r="D7" s="29" t="s">
        <v>147</v>
      </c>
      <c r="E7" s="31">
        <f>ROUND(SUMIF('Rechnungen 2026'!$C$6:$C$35,A7,'Rechnungen 2026'!$J$6:$J$35),2)</f>
        <v>2996</v>
      </c>
      <c r="F7" s="29" t="s">
        <v>143</v>
      </c>
      <c r="G7" s="22" t="s">
        <v>148</v>
      </c>
    </row>
    <row r="8">
      <c r="A8" s="26">
        <v>3.0</v>
      </c>
      <c r="B8" s="9" t="s">
        <v>149</v>
      </c>
      <c r="C8" s="9" t="s">
        <v>150</v>
      </c>
      <c r="D8" s="26" t="s">
        <v>147</v>
      </c>
      <c r="E8" s="15">
        <f>ROUND(SUMIF('Rechnungen 2026'!$C$6:$C$35,A8,'Rechnungen 2026'!$J$6:$J$35),2)</f>
        <v>2400</v>
      </c>
      <c r="F8" s="26" t="s">
        <v>143</v>
      </c>
      <c r="G8" s="9" t="s">
        <v>151</v>
      </c>
    </row>
    <row r="9">
      <c r="A9" s="29">
        <v>4.0</v>
      </c>
      <c r="B9" s="22" t="s">
        <v>152</v>
      </c>
      <c r="C9" s="22" t="s">
        <v>153</v>
      </c>
      <c r="D9" s="29" t="s">
        <v>154</v>
      </c>
      <c r="E9" s="31">
        <f>ROUND(SUMIF('Rechnungen 2026'!$C$6:$C$35,A9,'Rechnungen 2026'!$J$6:$J$35),2)</f>
        <v>0</v>
      </c>
      <c r="F9" s="29" t="s">
        <v>143</v>
      </c>
      <c r="G9" s="22" t="s">
        <v>155</v>
      </c>
    </row>
    <row r="10">
      <c r="A10" s="26">
        <v>5.0</v>
      </c>
      <c r="B10" s="9" t="s">
        <v>156</v>
      </c>
      <c r="C10" s="9" t="s">
        <v>157</v>
      </c>
      <c r="D10" s="26" t="s">
        <v>154</v>
      </c>
      <c r="E10" s="15">
        <f>ROUND(SUMIF('Rechnungen 2026'!$C$6:$C$35,A10,'Rechnungen 2026'!$J$6:$J$35),2)</f>
        <v>0</v>
      </c>
      <c r="F10" s="26" t="s">
        <v>143</v>
      </c>
      <c r="G10" s="9" t="s">
        <v>155</v>
      </c>
    </row>
    <row r="11">
      <c r="A11" s="29">
        <v>6.0</v>
      </c>
      <c r="B11" s="22" t="s">
        <v>158</v>
      </c>
      <c r="C11" s="22" t="s">
        <v>159</v>
      </c>
      <c r="D11" s="29" t="s">
        <v>154</v>
      </c>
      <c r="E11" s="31">
        <f>ROUND(SUMIF('Rechnungen 2026'!$C$6:$C$35,A11,'Rechnungen 2026'!$J$6:$J$35),2)</f>
        <v>0</v>
      </c>
      <c r="F11" s="29" t="s">
        <v>143</v>
      </c>
      <c r="G11" s="22" t="s">
        <v>160</v>
      </c>
    </row>
    <row r="12">
      <c r="A12" s="26">
        <v>7.0</v>
      </c>
      <c r="B12" s="9" t="s">
        <v>161</v>
      </c>
      <c r="C12" s="9" t="s">
        <v>162</v>
      </c>
      <c r="D12" s="26" t="s">
        <v>142</v>
      </c>
      <c r="E12" s="15">
        <f>ROUND(SUMIF('Rechnungen 2026'!$C$6:$C$35,A12,'Rechnungen 2026'!$J$6:$J$35),2)</f>
        <v>1850</v>
      </c>
      <c r="F12" s="26" t="s">
        <v>143</v>
      </c>
      <c r="G12" s="9" t="s">
        <v>163</v>
      </c>
    </row>
    <row r="13">
      <c r="A13" s="29">
        <v>8.0</v>
      </c>
      <c r="B13" s="22" t="s">
        <v>164</v>
      </c>
      <c r="C13" s="22" t="s">
        <v>165</v>
      </c>
      <c r="D13" s="29" t="s">
        <v>147</v>
      </c>
      <c r="E13" s="31">
        <f>ROUND(SUMIF('Rechnungen 2026'!$C$6:$C$35,A13,'Rechnungen 2026'!$J$6:$J$35),2)</f>
        <v>3831.76</v>
      </c>
      <c r="F13" s="29" t="s">
        <v>143</v>
      </c>
      <c r="G13" s="22" t="s">
        <v>166</v>
      </c>
    </row>
    <row r="14">
      <c r="A14" s="26">
        <v>9.0</v>
      </c>
      <c r="B14" s="9" t="s">
        <v>167</v>
      </c>
      <c r="C14" s="9" t="s">
        <v>168</v>
      </c>
      <c r="D14" s="26" t="s">
        <v>142</v>
      </c>
      <c r="E14" s="15">
        <f>ROUND(SUMIF('Rechnungen 2026'!$C$6:$C$35,A14,'Rechnungen 2026'!$J$6:$J$35),2)</f>
        <v>3184.47</v>
      </c>
      <c r="F14" s="26" t="s">
        <v>143</v>
      </c>
      <c r="G14" s="9" t="s">
        <v>169</v>
      </c>
    </row>
    <row r="15">
      <c r="A15" s="29">
        <v>10.0</v>
      </c>
      <c r="B15" s="22" t="s">
        <v>170</v>
      </c>
      <c r="C15" s="22" t="s">
        <v>171</v>
      </c>
      <c r="D15" s="29" t="s">
        <v>142</v>
      </c>
      <c r="E15" s="31">
        <f>ROUND(SUMIF('Rechnungen 2026'!$C$6:$C$35,A15,'Rechnungen 2026'!$J$6:$J$35),2)</f>
        <v>1500</v>
      </c>
      <c r="F15" s="29" t="s">
        <v>143</v>
      </c>
      <c r="G15" s="22" t="s">
        <v>172</v>
      </c>
    </row>
    <row r="16">
      <c r="A16" s="26">
        <v>11.0</v>
      </c>
      <c r="B16" s="9" t="s">
        <v>173</v>
      </c>
      <c r="C16" s="9" t="s">
        <v>174</v>
      </c>
      <c r="D16" s="26" t="s">
        <v>142</v>
      </c>
      <c r="E16" s="15">
        <f>ROUND(SUMIF('Rechnungen 2026'!$C$6:$C$35,A16,'Rechnungen 2026'!$J$6:$J$35),2)</f>
        <v>1368.5</v>
      </c>
      <c r="F16" s="26" t="s">
        <v>143</v>
      </c>
      <c r="G16" s="9" t="s">
        <v>175</v>
      </c>
    </row>
    <row r="17">
      <c r="A17" s="29">
        <v>12.0</v>
      </c>
      <c r="B17" s="22" t="s">
        <v>176</v>
      </c>
      <c r="C17" s="22" t="s">
        <v>177</v>
      </c>
      <c r="D17" s="29" t="s">
        <v>142</v>
      </c>
      <c r="E17" s="31">
        <f>ROUND(SUMIF('Rechnungen 2026'!$C$6:$C$35,A17,'Rechnungen 2026'!$J$6:$J$35),2)</f>
        <v>380</v>
      </c>
      <c r="F17" s="29" t="s">
        <v>143</v>
      </c>
      <c r="G17" s="22" t="s">
        <v>178</v>
      </c>
    </row>
    <row r="18">
      <c r="A18" s="26">
        <v>13.0</v>
      </c>
      <c r="B18" s="9" t="s">
        <v>179</v>
      </c>
      <c r="C18" s="9" t="s">
        <v>180</v>
      </c>
      <c r="D18" s="26" t="s">
        <v>142</v>
      </c>
      <c r="E18" s="15">
        <f>ROUND(SUMIF('Rechnungen 2026'!$C$6:$C$35,A18,'Rechnungen 2026'!$J$6:$J$35),2)</f>
        <v>2950</v>
      </c>
      <c r="F18" s="26" t="s">
        <v>143</v>
      </c>
      <c r="G18" s="9" t="s">
        <v>181</v>
      </c>
    </row>
    <row r="19">
      <c r="A19" s="29">
        <v>14.0</v>
      </c>
      <c r="B19" s="22" t="s">
        <v>182</v>
      </c>
      <c r="C19" s="22" t="s">
        <v>183</v>
      </c>
      <c r="D19" s="29" t="s">
        <v>142</v>
      </c>
      <c r="E19" s="31">
        <f>ROUND(SUMIF('Rechnungen 2026'!$C$6:$C$35,A19,'Rechnungen 2026'!$J$6:$J$35),2)</f>
        <v>4800</v>
      </c>
      <c r="F19" s="29" t="s">
        <v>143</v>
      </c>
      <c r="G19" s="22" t="s">
        <v>184</v>
      </c>
    </row>
    <row r="20">
      <c r="A20" s="26">
        <v>15.0</v>
      </c>
      <c r="B20" s="9" t="s">
        <v>185</v>
      </c>
      <c r="C20" s="9" t="s">
        <v>186</v>
      </c>
      <c r="D20" s="26" t="s">
        <v>142</v>
      </c>
      <c r="E20" s="15">
        <f>ROUND(SUMIF('Rechnungen 2026'!$C$6:$C$35,A20,'Rechnungen 2026'!$J$6:$J$35),2)</f>
        <v>600</v>
      </c>
      <c r="F20" s="26" t="s">
        <v>143</v>
      </c>
      <c r="G20" s="9" t="s">
        <v>187</v>
      </c>
    </row>
    <row r="21" ht="15.75" customHeight="1">
      <c r="A21" s="29">
        <v>16.0</v>
      </c>
      <c r="B21" s="22" t="s">
        <v>188</v>
      </c>
      <c r="C21" s="22" t="s">
        <v>189</v>
      </c>
      <c r="D21" s="29" t="s">
        <v>142</v>
      </c>
      <c r="E21" s="31">
        <f>ROUND(SUMIF('Rechnungen 2026'!$C$6:$C$35,A21,'Rechnungen 2026'!$J$6:$J$35),2)</f>
        <v>0</v>
      </c>
      <c r="F21" s="29" t="s">
        <v>190</v>
      </c>
      <c r="G21" s="22" t="s">
        <v>191</v>
      </c>
    </row>
    <row r="22" ht="15.75" customHeight="1">
      <c r="A22" s="26">
        <v>17.0</v>
      </c>
      <c r="B22" s="9" t="s">
        <v>192</v>
      </c>
      <c r="C22" s="9" t="s">
        <v>193</v>
      </c>
      <c r="D22" s="26" t="s">
        <v>142</v>
      </c>
      <c r="E22" s="15">
        <f>ROUND(SUMIF('Rechnungen 2026'!$C$6:$C$35,A22,'Rechnungen 2026'!$J$6:$J$35),2)</f>
        <v>750</v>
      </c>
      <c r="F22" s="26" t="s">
        <v>143</v>
      </c>
      <c r="G22" s="9" t="s">
        <v>194</v>
      </c>
    </row>
    <row r="23" ht="15.75" customHeight="1">
      <c r="D23" s="32" t="s">
        <v>129</v>
      </c>
      <c r="E23" s="35">
        <f>SUM(E6:E22)</f>
        <v>30060.73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hyperlinks>
    <hyperlink r:id="rId1" ref="A2"/>
  </hyperlinks>
  <printOptions/>
  <pageMargins bottom="1.0" footer="0.0" header="0.0" left="0.75" right="0.75" top="1.0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4.0"/>
    <col customWidth="1" min="2" max="2" width="30.0"/>
    <col customWidth="1" min="3" max="3" width="7.0"/>
    <col customWidth="1" min="4" max="4" width="24.0"/>
    <col customWidth="1" min="5" max="5" width="12.0"/>
    <col customWidth="1" min="6" max="6" width="15.0"/>
    <col customWidth="1" min="7" max="7" width="13.0"/>
    <col customWidth="1" min="8" max="8" width="7.0"/>
    <col customWidth="1" min="9" max="10" width="13.0"/>
    <col customWidth="1" min="11" max="11" width="11.0"/>
    <col customWidth="1" min="12" max="26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3.5" customHeight="1">
      <c r="A2" s="4" t="s">
        <v>195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8.0" customHeight="1">
      <c r="A3" s="5" t="s">
        <v>196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>
      <c r="A4" s="6" t="s">
        <v>197</v>
      </c>
      <c r="B4" s="2"/>
      <c r="C4" s="2"/>
      <c r="D4" s="2"/>
      <c r="E4" s="2"/>
      <c r="F4" s="2"/>
      <c r="G4" s="2"/>
      <c r="H4" s="2"/>
      <c r="I4" s="2"/>
      <c r="J4" s="2"/>
      <c r="K4" s="3"/>
    </row>
    <row r="5" ht="30.0" customHeight="1">
      <c r="A5" s="19" t="s">
        <v>198</v>
      </c>
      <c r="B5" s="19" t="s">
        <v>199</v>
      </c>
      <c r="C5" s="19" t="s">
        <v>133</v>
      </c>
      <c r="D5" s="19" t="s">
        <v>200</v>
      </c>
      <c r="E5" s="19" t="s">
        <v>201</v>
      </c>
      <c r="F5" s="19" t="s">
        <v>202</v>
      </c>
      <c r="G5" s="19" t="s">
        <v>203</v>
      </c>
      <c r="H5" s="19" t="s">
        <v>204</v>
      </c>
      <c r="I5" s="19" t="s">
        <v>205</v>
      </c>
      <c r="J5" s="19" t="s">
        <v>206</v>
      </c>
      <c r="K5" s="19" t="s">
        <v>207</v>
      </c>
    </row>
    <row r="6">
      <c r="A6" s="9" t="s">
        <v>208</v>
      </c>
      <c r="B6" s="9" t="s">
        <v>209</v>
      </c>
      <c r="C6" s="26">
        <v>8.0</v>
      </c>
      <c r="D6" s="9" t="s">
        <v>210</v>
      </c>
      <c r="E6" s="27">
        <v>46037.0</v>
      </c>
      <c r="F6" s="9" t="s">
        <v>211</v>
      </c>
      <c r="G6" s="15">
        <v>957.94</v>
      </c>
      <c r="H6" s="36">
        <v>0.0</v>
      </c>
      <c r="I6" s="15">
        <f t="shared" ref="I6:I35" si="1">ROUND(G6*H6,2)</f>
        <v>0</v>
      </c>
      <c r="J6" s="15">
        <f t="shared" ref="J6:J35" si="2">G6+I6</f>
        <v>957.94</v>
      </c>
      <c r="K6" s="26" t="s">
        <v>212</v>
      </c>
    </row>
    <row r="7">
      <c r="A7" s="22" t="s">
        <v>213</v>
      </c>
      <c r="B7" s="22" t="s">
        <v>214</v>
      </c>
      <c r="C7" s="29">
        <v>1.0</v>
      </c>
      <c r="D7" s="22" t="s">
        <v>215</v>
      </c>
      <c r="E7" s="30">
        <v>46037.0</v>
      </c>
      <c r="F7" s="22" t="s">
        <v>211</v>
      </c>
      <c r="G7" s="31">
        <v>862.5</v>
      </c>
      <c r="H7" s="37">
        <v>0.0</v>
      </c>
      <c r="I7" s="31">
        <f t="shared" si="1"/>
        <v>0</v>
      </c>
      <c r="J7" s="31">
        <f t="shared" si="2"/>
        <v>862.5</v>
      </c>
      <c r="K7" s="29" t="s">
        <v>212</v>
      </c>
    </row>
    <row r="8">
      <c r="A8" s="9" t="s">
        <v>216</v>
      </c>
      <c r="B8" s="9" t="s">
        <v>217</v>
      </c>
      <c r="C8" s="26">
        <v>2.0</v>
      </c>
      <c r="D8" s="9" t="s">
        <v>218</v>
      </c>
      <c r="E8" s="27">
        <v>46075.0</v>
      </c>
      <c r="F8" s="9" t="s">
        <v>219</v>
      </c>
      <c r="G8" s="15">
        <v>389.83</v>
      </c>
      <c r="H8" s="36">
        <v>0.07</v>
      </c>
      <c r="I8" s="15">
        <f t="shared" si="1"/>
        <v>27.29</v>
      </c>
      <c r="J8" s="15">
        <f t="shared" si="2"/>
        <v>417.12</v>
      </c>
      <c r="K8" s="26" t="s">
        <v>212</v>
      </c>
    </row>
    <row r="9">
      <c r="A9" s="22" t="s">
        <v>220</v>
      </c>
      <c r="B9" s="22" t="s">
        <v>217</v>
      </c>
      <c r="C9" s="29">
        <v>3.0</v>
      </c>
      <c r="D9" s="22" t="s">
        <v>221</v>
      </c>
      <c r="E9" s="30">
        <v>46075.0</v>
      </c>
      <c r="F9" s="22" t="s">
        <v>219</v>
      </c>
      <c r="G9" s="31">
        <v>351.43</v>
      </c>
      <c r="H9" s="37">
        <v>0.0</v>
      </c>
      <c r="I9" s="31">
        <f t="shared" si="1"/>
        <v>0</v>
      </c>
      <c r="J9" s="31">
        <f t="shared" si="2"/>
        <v>351.43</v>
      </c>
      <c r="K9" s="29" t="s">
        <v>212</v>
      </c>
    </row>
    <row r="10">
      <c r="A10" s="9" t="s">
        <v>222</v>
      </c>
      <c r="B10" s="9" t="s">
        <v>223</v>
      </c>
      <c r="C10" s="26">
        <v>9.0</v>
      </c>
      <c r="D10" s="9" t="s">
        <v>224</v>
      </c>
      <c r="E10" s="27">
        <v>46081.0</v>
      </c>
      <c r="F10" s="9" t="s">
        <v>225</v>
      </c>
      <c r="G10" s="15">
        <v>223.1</v>
      </c>
      <c r="H10" s="36">
        <v>0.19</v>
      </c>
      <c r="I10" s="15">
        <f t="shared" si="1"/>
        <v>42.39</v>
      </c>
      <c r="J10" s="15">
        <f t="shared" si="2"/>
        <v>265.49</v>
      </c>
      <c r="K10" s="26" t="s">
        <v>212</v>
      </c>
    </row>
    <row r="11">
      <c r="A11" s="22" t="s">
        <v>226</v>
      </c>
      <c r="B11" s="22" t="s">
        <v>227</v>
      </c>
      <c r="C11" s="29">
        <v>11.0</v>
      </c>
      <c r="D11" s="22" t="s">
        <v>228</v>
      </c>
      <c r="E11" s="30">
        <v>46086.0</v>
      </c>
      <c r="F11" s="22" t="s">
        <v>219</v>
      </c>
      <c r="G11" s="31">
        <v>161.21</v>
      </c>
      <c r="H11" s="37">
        <v>0.19</v>
      </c>
      <c r="I11" s="31">
        <f t="shared" si="1"/>
        <v>30.63</v>
      </c>
      <c r="J11" s="31">
        <f t="shared" si="2"/>
        <v>191.84</v>
      </c>
      <c r="K11" s="29" t="s">
        <v>212</v>
      </c>
    </row>
    <row r="12">
      <c r="A12" s="9" t="s">
        <v>229</v>
      </c>
      <c r="B12" s="9" t="s">
        <v>230</v>
      </c>
      <c r="C12" s="26">
        <v>13.0</v>
      </c>
      <c r="D12" s="9" t="s">
        <v>231</v>
      </c>
      <c r="E12" s="27">
        <v>46024.0</v>
      </c>
      <c r="F12" s="9" t="s">
        <v>232</v>
      </c>
      <c r="G12" s="15">
        <v>2950.0</v>
      </c>
      <c r="H12" s="36">
        <v>0.0</v>
      </c>
      <c r="I12" s="15">
        <f t="shared" si="1"/>
        <v>0</v>
      </c>
      <c r="J12" s="15">
        <f t="shared" si="2"/>
        <v>2950</v>
      </c>
      <c r="K12" s="26" t="s">
        <v>212</v>
      </c>
    </row>
    <row r="13">
      <c r="A13" s="22" t="s">
        <v>233</v>
      </c>
      <c r="B13" s="22" t="s">
        <v>234</v>
      </c>
      <c r="C13" s="29">
        <v>10.0</v>
      </c>
      <c r="D13" s="22" t="s">
        <v>235</v>
      </c>
      <c r="E13" s="30">
        <v>46127.0</v>
      </c>
      <c r="F13" s="22" t="s">
        <v>236</v>
      </c>
      <c r="G13" s="31">
        <v>630.25</v>
      </c>
      <c r="H13" s="37">
        <v>0.19</v>
      </c>
      <c r="I13" s="31">
        <f t="shared" si="1"/>
        <v>119.75</v>
      </c>
      <c r="J13" s="31">
        <f t="shared" si="2"/>
        <v>750</v>
      </c>
      <c r="K13" s="29" t="s">
        <v>212</v>
      </c>
    </row>
    <row r="14">
      <c r="A14" s="9" t="s">
        <v>237</v>
      </c>
      <c r="B14" s="9" t="s">
        <v>238</v>
      </c>
      <c r="C14" s="26">
        <v>12.0</v>
      </c>
      <c r="D14" s="9" t="s">
        <v>239</v>
      </c>
      <c r="E14" s="27">
        <v>46132.0</v>
      </c>
      <c r="F14" s="9" t="s">
        <v>240</v>
      </c>
      <c r="G14" s="15">
        <v>319.33</v>
      </c>
      <c r="H14" s="36">
        <v>0.19</v>
      </c>
      <c r="I14" s="15">
        <f t="shared" si="1"/>
        <v>60.67</v>
      </c>
      <c r="J14" s="15">
        <f t="shared" si="2"/>
        <v>380</v>
      </c>
      <c r="K14" s="26" t="s">
        <v>212</v>
      </c>
    </row>
    <row r="15">
      <c r="A15" s="22" t="s">
        <v>241</v>
      </c>
      <c r="B15" s="22" t="s">
        <v>242</v>
      </c>
      <c r="C15" s="29">
        <v>14.0</v>
      </c>
      <c r="D15" s="22" t="s">
        <v>243</v>
      </c>
      <c r="E15" s="30">
        <v>46142.0</v>
      </c>
      <c r="F15" s="22" t="s">
        <v>244</v>
      </c>
      <c r="G15" s="31">
        <v>2016.81</v>
      </c>
      <c r="H15" s="37">
        <v>0.19</v>
      </c>
      <c r="I15" s="31">
        <f t="shared" si="1"/>
        <v>383.19</v>
      </c>
      <c r="J15" s="31">
        <f t="shared" si="2"/>
        <v>2400</v>
      </c>
      <c r="K15" s="29" t="s">
        <v>212</v>
      </c>
    </row>
    <row r="16">
      <c r="A16" s="9" t="s">
        <v>245</v>
      </c>
      <c r="B16" s="9" t="s">
        <v>246</v>
      </c>
      <c r="C16" s="26">
        <v>7.0</v>
      </c>
      <c r="D16" s="9" t="s">
        <v>247</v>
      </c>
      <c r="E16" s="27">
        <v>46154.0</v>
      </c>
      <c r="F16" s="9" t="s">
        <v>248</v>
      </c>
      <c r="G16" s="15">
        <v>777.31</v>
      </c>
      <c r="H16" s="36">
        <v>0.19</v>
      </c>
      <c r="I16" s="15">
        <f t="shared" si="1"/>
        <v>147.69</v>
      </c>
      <c r="J16" s="15">
        <f t="shared" si="2"/>
        <v>925</v>
      </c>
      <c r="K16" s="26" t="s">
        <v>212</v>
      </c>
    </row>
    <row r="17">
      <c r="A17" s="22" t="s">
        <v>249</v>
      </c>
      <c r="B17" s="22" t="s">
        <v>214</v>
      </c>
      <c r="C17" s="29">
        <v>1.0</v>
      </c>
      <c r="D17" s="22" t="s">
        <v>215</v>
      </c>
      <c r="E17" s="30">
        <v>46157.0</v>
      </c>
      <c r="F17" s="22" t="s">
        <v>250</v>
      </c>
      <c r="G17" s="31">
        <v>862.5</v>
      </c>
      <c r="H17" s="37">
        <v>0.0</v>
      </c>
      <c r="I17" s="31">
        <f t="shared" si="1"/>
        <v>0</v>
      </c>
      <c r="J17" s="31">
        <f t="shared" si="2"/>
        <v>862.5</v>
      </c>
      <c r="K17" s="29" t="s">
        <v>212</v>
      </c>
    </row>
    <row r="18">
      <c r="A18" s="9" t="s">
        <v>251</v>
      </c>
      <c r="B18" s="9" t="s">
        <v>252</v>
      </c>
      <c r="C18" s="26">
        <v>17.0</v>
      </c>
      <c r="D18" s="9" t="s">
        <v>253</v>
      </c>
      <c r="E18" s="27">
        <v>46191.0</v>
      </c>
      <c r="F18" s="9" t="s">
        <v>254</v>
      </c>
      <c r="G18" s="15">
        <v>315.13</v>
      </c>
      <c r="H18" s="36">
        <v>0.19</v>
      </c>
      <c r="I18" s="15">
        <f t="shared" si="1"/>
        <v>59.87</v>
      </c>
      <c r="J18" s="15">
        <f t="shared" si="2"/>
        <v>375</v>
      </c>
      <c r="K18" s="26" t="s">
        <v>212</v>
      </c>
    </row>
    <row r="19">
      <c r="A19" s="22" t="s">
        <v>255</v>
      </c>
      <c r="B19" s="22" t="s">
        <v>209</v>
      </c>
      <c r="C19" s="29">
        <v>8.0</v>
      </c>
      <c r="D19" s="22" t="s">
        <v>210</v>
      </c>
      <c r="E19" s="30">
        <v>46218.0</v>
      </c>
      <c r="F19" s="22" t="s">
        <v>256</v>
      </c>
      <c r="G19" s="31">
        <v>1915.88</v>
      </c>
      <c r="H19" s="37">
        <v>0.0</v>
      </c>
      <c r="I19" s="31">
        <f t="shared" si="1"/>
        <v>0</v>
      </c>
      <c r="J19" s="31">
        <f t="shared" si="2"/>
        <v>1915.88</v>
      </c>
      <c r="K19" s="29" t="s">
        <v>212</v>
      </c>
    </row>
    <row r="20">
      <c r="A20" s="9" t="s">
        <v>257</v>
      </c>
      <c r="B20" s="9" t="s">
        <v>217</v>
      </c>
      <c r="C20" s="26">
        <v>2.0</v>
      </c>
      <c r="D20" s="9" t="s">
        <v>218</v>
      </c>
      <c r="E20" s="27">
        <v>46256.0</v>
      </c>
      <c r="F20" s="9" t="s">
        <v>258</v>
      </c>
      <c r="G20" s="15">
        <v>1010.59</v>
      </c>
      <c r="H20" s="36">
        <v>0.07</v>
      </c>
      <c r="I20" s="15">
        <f t="shared" si="1"/>
        <v>70.74</v>
      </c>
      <c r="J20" s="15">
        <f t="shared" si="2"/>
        <v>1081.33</v>
      </c>
      <c r="K20" s="26" t="s">
        <v>212</v>
      </c>
    </row>
    <row r="21" ht="15.75" customHeight="1">
      <c r="A21" s="22" t="s">
        <v>259</v>
      </c>
      <c r="B21" s="22" t="s">
        <v>217</v>
      </c>
      <c r="C21" s="29">
        <v>3.0</v>
      </c>
      <c r="D21" s="22" t="s">
        <v>221</v>
      </c>
      <c r="E21" s="30">
        <v>46256.0</v>
      </c>
      <c r="F21" s="22" t="s">
        <v>258</v>
      </c>
      <c r="G21" s="31">
        <v>912.61</v>
      </c>
      <c r="H21" s="37">
        <v>0.0</v>
      </c>
      <c r="I21" s="31">
        <f t="shared" si="1"/>
        <v>0</v>
      </c>
      <c r="J21" s="31">
        <f t="shared" si="2"/>
        <v>912.61</v>
      </c>
      <c r="K21" s="29" t="s">
        <v>212</v>
      </c>
    </row>
    <row r="22" ht="15.75" customHeight="1">
      <c r="A22" s="9" t="s">
        <v>260</v>
      </c>
      <c r="B22" s="9" t="s">
        <v>223</v>
      </c>
      <c r="C22" s="26">
        <v>9.0</v>
      </c>
      <c r="D22" s="9" t="s">
        <v>224</v>
      </c>
      <c r="E22" s="27">
        <v>46295.0</v>
      </c>
      <c r="F22" s="9" t="s">
        <v>261</v>
      </c>
      <c r="G22" s="15">
        <v>1561.68</v>
      </c>
      <c r="H22" s="36">
        <v>0.19</v>
      </c>
      <c r="I22" s="15">
        <f t="shared" si="1"/>
        <v>296.72</v>
      </c>
      <c r="J22" s="15">
        <f t="shared" si="2"/>
        <v>1858.4</v>
      </c>
      <c r="K22" s="26" t="s">
        <v>212</v>
      </c>
    </row>
    <row r="23" ht="15.75" customHeight="1">
      <c r="A23" s="22" t="s">
        <v>262</v>
      </c>
      <c r="B23" s="22" t="s">
        <v>227</v>
      </c>
      <c r="C23" s="29">
        <v>11.0</v>
      </c>
      <c r="D23" s="22" t="s">
        <v>228</v>
      </c>
      <c r="E23" s="30">
        <v>46300.0</v>
      </c>
      <c r="F23" s="22" t="s">
        <v>261</v>
      </c>
      <c r="G23" s="31">
        <v>565.55</v>
      </c>
      <c r="H23" s="37">
        <v>0.19</v>
      </c>
      <c r="I23" s="31">
        <f t="shared" si="1"/>
        <v>107.45</v>
      </c>
      <c r="J23" s="31">
        <f t="shared" si="2"/>
        <v>673</v>
      </c>
      <c r="K23" s="29" t="s">
        <v>212</v>
      </c>
    </row>
    <row r="24" ht="15.75" customHeight="1">
      <c r="A24" s="9" t="s">
        <v>263</v>
      </c>
      <c r="B24" s="9" t="s">
        <v>234</v>
      </c>
      <c r="C24" s="26">
        <v>10.0</v>
      </c>
      <c r="D24" s="9" t="s">
        <v>235</v>
      </c>
      <c r="E24" s="27">
        <v>46310.0</v>
      </c>
      <c r="F24" s="9" t="s">
        <v>264</v>
      </c>
      <c r="G24" s="15">
        <v>630.25</v>
      </c>
      <c r="H24" s="36">
        <v>0.19</v>
      </c>
      <c r="I24" s="15">
        <f t="shared" si="1"/>
        <v>119.75</v>
      </c>
      <c r="J24" s="15">
        <f t="shared" si="2"/>
        <v>750</v>
      </c>
      <c r="K24" s="26" t="s">
        <v>212</v>
      </c>
    </row>
    <row r="25" ht="15.75" customHeight="1">
      <c r="A25" s="22" t="s">
        <v>265</v>
      </c>
      <c r="B25" s="22" t="s">
        <v>214</v>
      </c>
      <c r="C25" s="29">
        <v>1.0</v>
      </c>
      <c r="D25" s="22" t="s">
        <v>215</v>
      </c>
      <c r="E25" s="30">
        <v>46249.0</v>
      </c>
      <c r="F25" s="22" t="s">
        <v>266</v>
      </c>
      <c r="G25" s="31">
        <v>862.5</v>
      </c>
      <c r="H25" s="37">
        <v>0.0</v>
      </c>
      <c r="I25" s="31">
        <f t="shared" si="1"/>
        <v>0</v>
      </c>
      <c r="J25" s="31">
        <f t="shared" si="2"/>
        <v>862.5</v>
      </c>
      <c r="K25" s="29" t="s">
        <v>212</v>
      </c>
    </row>
    <row r="26" ht="15.75" customHeight="1">
      <c r="A26" s="9" t="s">
        <v>267</v>
      </c>
      <c r="B26" s="9" t="s">
        <v>246</v>
      </c>
      <c r="C26" s="26">
        <v>7.0</v>
      </c>
      <c r="D26" s="9" t="s">
        <v>247</v>
      </c>
      <c r="E26" s="27">
        <v>46336.0</v>
      </c>
      <c r="F26" s="9" t="s">
        <v>268</v>
      </c>
      <c r="G26" s="15">
        <v>777.31</v>
      </c>
      <c r="H26" s="36">
        <v>0.19</v>
      </c>
      <c r="I26" s="15">
        <f t="shared" si="1"/>
        <v>147.69</v>
      </c>
      <c r="J26" s="15">
        <f t="shared" si="2"/>
        <v>925</v>
      </c>
      <c r="K26" s="26" t="s">
        <v>212</v>
      </c>
    </row>
    <row r="27" ht="15.75" customHeight="1">
      <c r="A27" s="22" t="s">
        <v>269</v>
      </c>
      <c r="B27" s="22" t="s">
        <v>242</v>
      </c>
      <c r="C27" s="29">
        <v>14.0</v>
      </c>
      <c r="D27" s="22" t="s">
        <v>243</v>
      </c>
      <c r="E27" s="30">
        <v>46356.0</v>
      </c>
      <c r="F27" s="22" t="s">
        <v>270</v>
      </c>
      <c r="G27" s="31">
        <v>2016.81</v>
      </c>
      <c r="H27" s="37">
        <v>0.19</v>
      </c>
      <c r="I27" s="31">
        <f t="shared" si="1"/>
        <v>383.19</v>
      </c>
      <c r="J27" s="31">
        <f t="shared" si="2"/>
        <v>2400</v>
      </c>
      <c r="K27" s="29" t="s">
        <v>212</v>
      </c>
    </row>
    <row r="28" ht="15.75" customHeight="1">
      <c r="A28" s="9" t="s">
        <v>271</v>
      </c>
      <c r="B28" s="9" t="s">
        <v>214</v>
      </c>
      <c r="C28" s="26">
        <v>1.0</v>
      </c>
      <c r="D28" s="9" t="s">
        <v>215</v>
      </c>
      <c r="E28" s="27">
        <v>46341.0</v>
      </c>
      <c r="F28" s="9" t="s">
        <v>272</v>
      </c>
      <c r="G28" s="15">
        <v>862.5</v>
      </c>
      <c r="H28" s="36">
        <v>0.0</v>
      </c>
      <c r="I28" s="15">
        <f t="shared" si="1"/>
        <v>0</v>
      </c>
      <c r="J28" s="15">
        <f t="shared" si="2"/>
        <v>862.5</v>
      </c>
      <c r="K28" s="26" t="s">
        <v>212</v>
      </c>
    </row>
    <row r="29" ht="15.75" customHeight="1">
      <c r="A29" s="22" t="s">
        <v>273</v>
      </c>
      <c r="B29" s="22" t="s">
        <v>274</v>
      </c>
      <c r="C29" s="29">
        <v>15.0</v>
      </c>
      <c r="D29" s="22" t="s">
        <v>275</v>
      </c>
      <c r="E29" s="30">
        <v>46376.0</v>
      </c>
      <c r="F29" s="22" t="s">
        <v>232</v>
      </c>
      <c r="G29" s="31">
        <v>504.2</v>
      </c>
      <c r="H29" s="37">
        <v>0.19</v>
      </c>
      <c r="I29" s="31">
        <f t="shared" si="1"/>
        <v>95.8</v>
      </c>
      <c r="J29" s="31">
        <f t="shared" si="2"/>
        <v>600</v>
      </c>
      <c r="K29" s="29" t="s">
        <v>212</v>
      </c>
    </row>
    <row r="30" ht="15.75" customHeight="1">
      <c r="A30" s="9" t="s">
        <v>276</v>
      </c>
      <c r="B30" s="9" t="s">
        <v>209</v>
      </c>
      <c r="C30" s="26">
        <v>8.0</v>
      </c>
      <c r="D30" s="9" t="s">
        <v>210</v>
      </c>
      <c r="E30" s="27">
        <v>46341.0</v>
      </c>
      <c r="F30" s="9" t="s">
        <v>272</v>
      </c>
      <c r="G30" s="15">
        <v>957.94</v>
      </c>
      <c r="H30" s="36">
        <v>0.0</v>
      </c>
      <c r="I30" s="15">
        <f t="shared" si="1"/>
        <v>0</v>
      </c>
      <c r="J30" s="15">
        <f t="shared" si="2"/>
        <v>957.94</v>
      </c>
      <c r="K30" s="26" t="s">
        <v>212</v>
      </c>
    </row>
    <row r="31" ht="15.75" customHeight="1">
      <c r="A31" s="22" t="s">
        <v>277</v>
      </c>
      <c r="B31" s="22" t="s">
        <v>217</v>
      </c>
      <c r="C31" s="29">
        <v>2.0</v>
      </c>
      <c r="D31" s="22" t="s">
        <v>218</v>
      </c>
      <c r="E31" s="30">
        <v>46376.0</v>
      </c>
      <c r="F31" s="22" t="s">
        <v>278</v>
      </c>
      <c r="G31" s="31">
        <v>1399.58</v>
      </c>
      <c r="H31" s="37">
        <v>0.07</v>
      </c>
      <c r="I31" s="31">
        <f t="shared" si="1"/>
        <v>97.97</v>
      </c>
      <c r="J31" s="31">
        <f t="shared" si="2"/>
        <v>1497.55</v>
      </c>
      <c r="K31" s="29" t="s">
        <v>212</v>
      </c>
    </row>
    <row r="32" ht="15.75" customHeight="1">
      <c r="A32" s="9" t="s">
        <v>279</v>
      </c>
      <c r="B32" s="9" t="s">
        <v>217</v>
      </c>
      <c r="C32" s="26">
        <v>3.0</v>
      </c>
      <c r="D32" s="9" t="s">
        <v>221</v>
      </c>
      <c r="E32" s="27">
        <v>46376.0</v>
      </c>
      <c r="F32" s="9" t="s">
        <v>278</v>
      </c>
      <c r="G32" s="15">
        <v>1135.96</v>
      </c>
      <c r="H32" s="36">
        <v>0.0</v>
      </c>
      <c r="I32" s="15">
        <f t="shared" si="1"/>
        <v>0</v>
      </c>
      <c r="J32" s="15">
        <f t="shared" si="2"/>
        <v>1135.96</v>
      </c>
      <c r="K32" s="26" t="s">
        <v>212</v>
      </c>
    </row>
    <row r="33" ht="15.75" customHeight="1">
      <c r="A33" s="22" t="s">
        <v>280</v>
      </c>
      <c r="B33" s="22" t="s">
        <v>281</v>
      </c>
      <c r="C33" s="29">
        <v>17.0</v>
      </c>
      <c r="D33" s="22" t="s">
        <v>253</v>
      </c>
      <c r="E33" s="30">
        <v>46366.0</v>
      </c>
      <c r="F33" s="22" t="s">
        <v>282</v>
      </c>
      <c r="G33" s="31">
        <v>315.13</v>
      </c>
      <c r="H33" s="37">
        <v>0.19</v>
      </c>
      <c r="I33" s="31">
        <f t="shared" si="1"/>
        <v>59.87</v>
      </c>
      <c r="J33" s="31">
        <f t="shared" si="2"/>
        <v>375</v>
      </c>
      <c r="K33" s="29" t="s">
        <v>212</v>
      </c>
    </row>
    <row r="34" ht="15.75" customHeight="1">
      <c r="A34" s="9" t="s">
        <v>283</v>
      </c>
      <c r="B34" s="9" t="s">
        <v>223</v>
      </c>
      <c r="C34" s="26">
        <v>9.0</v>
      </c>
      <c r="D34" s="9" t="s">
        <v>224</v>
      </c>
      <c r="E34" s="27">
        <v>46386.0</v>
      </c>
      <c r="F34" s="9" t="s">
        <v>284</v>
      </c>
      <c r="G34" s="15">
        <v>891.24</v>
      </c>
      <c r="H34" s="36">
        <v>0.19</v>
      </c>
      <c r="I34" s="15">
        <f t="shared" si="1"/>
        <v>169.34</v>
      </c>
      <c r="J34" s="15">
        <f t="shared" si="2"/>
        <v>1060.58</v>
      </c>
      <c r="K34" s="26" t="s">
        <v>212</v>
      </c>
    </row>
    <row r="35" ht="15.75" customHeight="1">
      <c r="A35" s="22" t="s">
        <v>285</v>
      </c>
      <c r="B35" s="22" t="s">
        <v>227</v>
      </c>
      <c r="C35" s="29">
        <v>11.0</v>
      </c>
      <c r="D35" s="22" t="s">
        <v>228</v>
      </c>
      <c r="E35" s="30">
        <v>46384.0</v>
      </c>
      <c r="F35" s="22" t="s">
        <v>284</v>
      </c>
      <c r="G35" s="31">
        <v>423.24</v>
      </c>
      <c r="H35" s="37">
        <v>0.19</v>
      </c>
      <c r="I35" s="31">
        <f t="shared" si="1"/>
        <v>80.42</v>
      </c>
      <c r="J35" s="31">
        <f t="shared" si="2"/>
        <v>503.66</v>
      </c>
      <c r="K35" s="29" t="s">
        <v>212</v>
      </c>
    </row>
    <row r="36" ht="15.75" customHeight="1">
      <c r="F36" s="32" t="s">
        <v>129</v>
      </c>
      <c r="G36" s="35">
        <f>SUM(G6:G35)</f>
        <v>27560.31</v>
      </c>
      <c r="I36" s="35">
        <f t="shared" ref="I36:J36" si="3">SUM(I6:I35)</f>
        <v>2500.42</v>
      </c>
      <c r="J36" s="35">
        <f t="shared" si="3"/>
        <v>30060.73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K1"/>
    <mergeCell ref="A2:K2"/>
    <mergeCell ref="A3:K3"/>
    <mergeCell ref="A4:K4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24.0"/>
    <col customWidth="1" min="2" max="2" width="10.0"/>
    <col customWidth="1" min="3" max="3" width="13.0"/>
    <col customWidth="1" min="4" max="5" width="10.0"/>
    <col customWidth="1" min="6" max="6" width="11.0"/>
    <col customWidth="1" min="7" max="8" width="15.0"/>
    <col customWidth="1" min="9" max="9" width="16.0"/>
    <col customWidth="1" min="10" max="12" width="13.0"/>
    <col customWidth="1" min="13" max="26" width="8.71"/>
  </cols>
  <sheetData>
    <row r="1" ht="2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13.5" customHeight="1">
      <c r="A2" s="18" t="s">
        <v>286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ht="18.0" customHeight="1">
      <c r="A3" s="5" t="s">
        <v>287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>
      <c r="A4" s="6" t="s">
        <v>288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ht="30.0" customHeight="1">
      <c r="A5" s="19" t="s">
        <v>289</v>
      </c>
      <c r="B5" s="19" t="s">
        <v>290</v>
      </c>
      <c r="C5" s="19" t="s">
        <v>75</v>
      </c>
      <c r="D5" s="19" t="s">
        <v>291</v>
      </c>
      <c r="E5" s="19" t="s">
        <v>147</v>
      </c>
      <c r="F5" s="19" t="s">
        <v>292</v>
      </c>
      <c r="G5" s="19" t="s">
        <v>293</v>
      </c>
      <c r="H5" s="19" t="s">
        <v>294</v>
      </c>
      <c r="I5" s="19" t="s">
        <v>295</v>
      </c>
      <c r="J5" s="19" t="s">
        <v>296</v>
      </c>
      <c r="K5" s="19" t="s">
        <v>297</v>
      </c>
      <c r="L5" s="19" t="s">
        <v>298</v>
      </c>
    </row>
    <row r="6">
      <c r="A6" s="9" t="str">
        <f>Mieter!C6</f>
        <v>Hans-Dieter Schulz</v>
      </c>
      <c r="B6" s="9" t="str">
        <f>Mieter!A6</f>
        <v>WE 01</v>
      </c>
      <c r="C6" s="11">
        <f>Mieter!D6</f>
        <v>65</v>
      </c>
      <c r="D6" s="38">
        <f>Mieter!D6/'Übersicht'!$B$10</f>
        <v>0.07369614512</v>
      </c>
      <c r="E6" s="26">
        <f>Mieter!E6</f>
        <v>1</v>
      </c>
      <c r="F6" s="38">
        <f>Mieter!E6/'Übersicht'!$B$11</f>
        <v>0.04166666667</v>
      </c>
      <c r="G6" s="15">
        <f>ROUND('Übersicht'!$B$16*D6,2)</f>
        <v>1535.31</v>
      </c>
      <c r="H6" s="15">
        <f>ROUND('Übersicht'!$B$17*F6,2)</f>
        <v>384.49</v>
      </c>
      <c r="I6" s="15">
        <f t="shared" ref="I6:I17" si="1">G6+H6</f>
        <v>1919.8</v>
      </c>
      <c r="J6" s="15">
        <f>Mieter!I6</f>
        <v>2160</v>
      </c>
      <c r="K6" s="15">
        <f t="shared" ref="K6:K17" si="2">J6-I6</f>
        <v>240.2</v>
      </c>
      <c r="L6" s="26" t="str">
        <f t="shared" ref="L6:L17" si="3">IF(K6&gt;=0,"Guthaben","Nachzahlung")</f>
        <v>Guthaben</v>
      </c>
    </row>
    <row r="7">
      <c r="A7" s="22" t="str">
        <f>Mieter!C7</f>
        <v>Aylin Yilmaz</v>
      </c>
      <c r="B7" s="22" t="str">
        <f>Mieter!A7</f>
        <v>WE 02</v>
      </c>
      <c r="C7" s="28">
        <f>Mieter!D7</f>
        <v>48</v>
      </c>
      <c r="D7" s="39">
        <f>Mieter!D7/'Übersicht'!$B$10</f>
        <v>0.05442176871</v>
      </c>
      <c r="E7" s="29">
        <f>Mieter!E7</f>
        <v>2</v>
      </c>
      <c r="F7" s="39">
        <f>Mieter!E7/'Übersicht'!$B$11</f>
        <v>0.08333333333</v>
      </c>
      <c r="G7" s="31">
        <f>ROUND('Übersicht'!$B$16*D7,2)</f>
        <v>1133.77</v>
      </c>
      <c r="H7" s="31">
        <f>ROUND('Übersicht'!$B$17*F7,2)</f>
        <v>768.98</v>
      </c>
      <c r="I7" s="31">
        <f t="shared" si="1"/>
        <v>1902.75</v>
      </c>
      <c r="J7" s="31">
        <f>Mieter!I7</f>
        <v>1680</v>
      </c>
      <c r="K7" s="31">
        <f t="shared" si="2"/>
        <v>-222.75</v>
      </c>
      <c r="L7" s="29" t="str">
        <f t="shared" si="3"/>
        <v>Nachzahlung</v>
      </c>
    </row>
    <row r="8">
      <c r="A8" s="9" t="str">
        <f>Mieter!C8</f>
        <v>Dr. Michael Schmidt</v>
      </c>
      <c r="B8" s="9" t="str">
        <f>Mieter!A8</f>
        <v>WE 03</v>
      </c>
      <c r="C8" s="11">
        <f>Mieter!D8</f>
        <v>85</v>
      </c>
      <c r="D8" s="38">
        <f>Mieter!D8/'Übersicht'!$B$10</f>
        <v>0.09637188209</v>
      </c>
      <c r="E8" s="26">
        <f>Mieter!E8</f>
        <v>2</v>
      </c>
      <c r="F8" s="38">
        <f>Mieter!E8/'Übersicht'!$B$11</f>
        <v>0.08333333333</v>
      </c>
      <c r="G8" s="15">
        <f>ROUND('Übersicht'!$B$16*D8,2)</f>
        <v>2007.71</v>
      </c>
      <c r="H8" s="15">
        <f>ROUND('Übersicht'!$B$17*F8,2)</f>
        <v>768.98</v>
      </c>
      <c r="I8" s="15">
        <f t="shared" si="1"/>
        <v>2776.69</v>
      </c>
      <c r="J8" s="15">
        <f>Mieter!I8</f>
        <v>2760</v>
      </c>
      <c r="K8" s="15">
        <f t="shared" si="2"/>
        <v>-16.69</v>
      </c>
      <c r="L8" s="26" t="str">
        <f t="shared" si="3"/>
        <v>Nachzahlung</v>
      </c>
    </row>
    <row r="9">
      <c r="A9" s="22" t="str">
        <f>Mieter!C9</f>
        <v>Sarah Connor</v>
      </c>
      <c r="B9" s="22" t="str">
        <f>Mieter!A9</f>
        <v>WE 04</v>
      </c>
      <c r="C9" s="28">
        <f>Mieter!D9</f>
        <v>72</v>
      </c>
      <c r="D9" s="39">
        <f>Mieter!D9/'Übersicht'!$B$10</f>
        <v>0.08163265306</v>
      </c>
      <c r="E9" s="29">
        <f>Mieter!E9</f>
        <v>1</v>
      </c>
      <c r="F9" s="39">
        <f>Mieter!E9/'Übersicht'!$B$11</f>
        <v>0.04166666667</v>
      </c>
      <c r="G9" s="31">
        <f>ROUND('Übersicht'!$B$16*D9,2)</f>
        <v>1700.65</v>
      </c>
      <c r="H9" s="31">
        <f>ROUND('Übersicht'!$B$17*F9,2)</f>
        <v>384.49</v>
      </c>
      <c r="I9" s="31">
        <f t="shared" si="1"/>
        <v>2085.14</v>
      </c>
      <c r="J9" s="31">
        <f>Mieter!I9</f>
        <v>2520</v>
      </c>
      <c r="K9" s="31">
        <f t="shared" si="2"/>
        <v>434.86</v>
      </c>
      <c r="L9" s="29" t="str">
        <f t="shared" si="3"/>
        <v>Guthaben</v>
      </c>
    </row>
    <row r="10">
      <c r="A10" s="9" t="str">
        <f>Mieter!C10</f>
        <v>Mehmet und Emine Avci</v>
      </c>
      <c r="B10" s="9" t="str">
        <f>Mieter!A10</f>
        <v>WE 05</v>
      </c>
      <c r="C10" s="11">
        <f>Mieter!D10</f>
        <v>90</v>
      </c>
      <c r="D10" s="38">
        <f>Mieter!D10/'Übersicht'!$B$10</f>
        <v>0.1020408163</v>
      </c>
      <c r="E10" s="26">
        <f>Mieter!E10</f>
        <v>4</v>
      </c>
      <c r="F10" s="38">
        <f>Mieter!E10/'Übersicht'!$B$11</f>
        <v>0.1666666667</v>
      </c>
      <c r="G10" s="15">
        <f>ROUND('Übersicht'!$B$16*D10,2)</f>
        <v>2125.81</v>
      </c>
      <c r="H10" s="15">
        <f>ROUND('Übersicht'!$B$17*F10,2)</f>
        <v>1537.96</v>
      </c>
      <c r="I10" s="15">
        <f t="shared" si="1"/>
        <v>3663.77</v>
      </c>
      <c r="J10" s="15">
        <f>Mieter!I10</f>
        <v>2880</v>
      </c>
      <c r="K10" s="15">
        <f t="shared" si="2"/>
        <v>-783.77</v>
      </c>
      <c r="L10" s="26" t="str">
        <f t="shared" si="3"/>
        <v>Nachzahlung</v>
      </c>
    </row>
    <row r="11">
      <c r="A11" s="22" t="str">
        <f>Mieter!C11</f>
        <v>John Smith</v>
      </c>
      <c r="B11" s="22" t="str">
        <f>Mieter!A11</f>
        <v>WE 06</v>
      </c>
      <c r="C11" s="28">
        <f>Mieter!D11</f>
        <v>55</v>
      </c>
      <c r="D11" s="39">
        <f>Mieter!D11/'Übersicht'!$B$10</f>
        <v>0.06235827664</v>
      </c>
      <c r="E11" s="29">
        <f>Mieter!E11</f>
        <v>1</v>
      </c>
      <c r="F11" s="39">
        <f>Mieter!E11/'Übersicht'!$B$11</f>
        <v>0.04166666667</v>
      </c>
      <c r="G11" s="31">
        <f>ROUND('Übersicht'!$B$16*D11,2)</f>
        <v>1299.11</v>
      </c>
      <c r="H11" s="31">
        <f>ROUND('Übersicht'!$B$17*F11,2)</f>
        <v>384.49</v>
      </c>
      <c r="I11" s="31">
        <f t="shared" si="1"/>
        <v>1683.6</v>
      </c>
      <c r="J11" s="31">
        <f>Mieter!I11</f>
        <v>1920</v>
      </c>
      <c r="K11" s="31">
        <f t="shared" si="2"/>
        <v>236.4</v>
      </c>
      <c r="L11" s="29" t="str">
        <f t="shared" si="3"/>
        <v>Guthaben</v>
      </c>
    </row>
    <row r="12">
      <c r="A12" s="9" t="str">
        <f>Mieter!C12</f>
        <v>Sabine Fischer</v>
      </c>
      <c r="B12" s="9" t="str">
        <f>Mieter!A12</f>
        <v>WE 07</v>
      </c>
      <c r="C12" s="11">
        <f>Mieter!D12</f>
        <v>95</v>
      </c>
      <c r="D12" s="38">
        <f>Mieter!D12/'Übersicht'!$B$10</f>
        <v>0.1077097506</v>
      </c>
      <c r="E12" s="26">
        <f>Mieter!E12</f>
        <v>3</v>
      </c>
      <c r="F12" s="38">
        <f>Mieter!E12/'Übersicht'!$B$11</f>
        <v>0.125</v>
      </c>
      <c r="G12" s="15">
        <f>ROUND('Übersicht'!$B$16*D12,2)</f>
        <v>2243.91</v>
      </c>
      <c r="H12" s="15">
        <f>ROUND('Übersicht'!$B$17*F12,2)</f>
        <v>1153.47</v>
      </c>
      <c r="I12" s="15">
        <f t="shared" si="1"/>
        <v>3397.38</v>
      </c>
      <c r="J12" s="15">
        <f>Mieter!I12</f>
        <v>3240</v>
      </c>
      <c r="K12" s="15">
        <f t="shared" si="2"/>
        <v>-157.38</v>
      </c>
      <c r="L12" s="26" t="str">
        <f t="shared" si="3"/>
        <v>Nachzahlung</v>
      </c>
    </row>
    <row r="13">
      <c r="A13" s="22" t="str">
        <f>Mieter!C13</f>
        <v>David Levinson</v>
      </c>
      <c r="B13" s="22" t="str">
        <f>Mieter!A13</f>
        <v>WE 08</v>
      </c>
      <c r="C13" s="28">
        <f>Mieter!D13</f>
        <v>75</v>
      </c>
      <c r="D13" s="39">
        <f>Mieter!D13/'Übersicht'!$B$10</f>
        <v>0.08503401361</v>
      </c>
      <c r="E13" s="29">
        <f>Mieter!E13</f>
        <v>2</v>
      </c>
      <c r="F13" s="39">
        <f>Mieter!E13/'Übersicht'!$B$11</f>
        <v>0.08333333333</v>
      </c>
      <c r="G13" s="31">
        <f>ROUND('Übersicht'!$B$16*D13,2)</f>
        <v>1771.51</v>
      </c>
      <c r="H13" s="31">
        <f>ROUND('Übersicht'!$B$17*F13,2)</f>
        <v>768.98</v>
      </c>
      <c r="I13" s="31">
        <f t="shared" si="1"/>
        <v>2540.49</v>
      </c>
      <c r="J13" s="31">
        <f>Mieter!I13</f>
        <v>2400</v>
      </c>
      <c r="K13" s="31">
        <f t="shared" si="2"/>
        <v>-140.49</v>
      </c>
      <c r="L13" s="29" t="str">
        <f t="shared" si="3"/>
        <v>Nachzahlung</v>
      </c>
    </row>
    <row r="14">
      <c r="A14" s="9" t="str">
        <f>Mieter!C14</f>
        <v>Familie Nguyen</v>
      </c>
      <c r="B14" s="9" t="str">
        <f>Mieter!A14</f>
        <v>WE 09</v>
      </c>
      <c r="C14" s="11">
        <f>Mieter!D14</f>
        <v>70</v>
      </c>
      <c r="D14" s="38">
        <f>Mieter!D14/'Übersicht'!$B$10</f>
        <v>0.07936507937</v>
      </c>
      <c r="E14" s="26">
        <f>Mieter!E14</f>
        <v>3</v>
      </c>
      <c r="F14" s="38">
        <f>Mieter!E14/'Übersicht'!$B$11</f>
        <v>0.125</v>
      </c>
      <c r="G14" s="15">
        <f>ROUND('Übersicht'!$B$16*D14,2)</f>
        <v>1653.41</v>
      </c>
      <c r="H14" s="15">
        <f>ROUND('Übersicht'!$B$17*F14,2)</f>
        <v>1153.47</v>
      </c>
      <c r="I14" s="15">
        <f t="shared" si="1"/>
        <v>2806.88</v>
      </c>
      <c r="J14" s="15">
        <f>Mieter!I14</f>
        <v>2340</v>
      </c>
      <c r="K14" s="15">
        <f t="shared" si="2"/>
        <v>-466.88</v>
      </c>
      <c r="L14" s="26" t="str">
        <f t="shared" si="3"/>
        <v>Nachzahlung</v>
      </c>
    </row>
    <row r="15">
      <c r="A15" s="22" t="str">
        <f>Mieter!C15</f>
        <v>Klaus Berger</v>
      </c>
      <c r="B15" s="22" t="str">
        <f>Mieter!A15</f>
        <v>WE 10</v>
      </c>
      <c r="C15" s="28">
        <f>Mieter!D15</f>
        <v>62</v>
      </c>
      <c r="D15" s="39">
        <f>Mieter!D15/'Übersicht'!$B$10</f>
        <v>0.07029478458</v>
      </c>
      <c r="E15" s="29">
        <f>Mieter!E15</f>
        <v>1</v>
      </c>
      <c r="F15" s="39">
        <f>Mieter!E15/'Übersicht'!$B$11</f>
        <v>0.04166666667</v>
      </c>
      <c r="G15" s="31">
        <f>ROUND('Übersicht'!$B$16*D15,2)</f>
        <v>1464.45</v>
      </c>
      <c r="H15" s="31">
        <f>ROUND('Übersicht'!$B$17*F15,2)</f>
        <v>384.49</v>
      </c>
      <c r="I15" s="31">
        <f t="shared" si="1"/>
        <v>1848.94</v>
      </c>
      <c r="J15" s="31">
        <f>Mieter!I15</f>
        <v>2100</v>
      </c>
      <c r="K15" s="31">
        <f t="shared" si="2"/>
        <v>251.06</v>
      </c>
      <c r="L15" s="29" t="str">
        <f t="shared" si="3"/>
        <v>Guthaben</v>
      </c>
    </row>
    <row r="16">
      <c r="A16" s="9" t="str">
        <f>Mieter!C16</f>
        <v>Isabella Romano</v>
      </c>
      <c r="B16" s="9" t="str">
        <f>Mieter!A16</f>
        <v>WE 11</v>
      </c>
      <c r="C16" s="11">
        <f>Mieter!D16</f>
        <v>105</v>
      </c>
      <c r="D16" s="38">
        <f>Mieter!D16/'Übersicht'!$B$10</f>
        <v>0.119047619</v>
      </c>
      <c r="E16" s="26">
        <f>Mieter!E16</f>
        <v>2</v>
      </c>
      <c r="F16" s="38">
        <f>Mieter!E16/'Übersicht'!$B$11</f>
        <v>0.08333333333</v>
      </c>
      <c r="G16" s="15">
        <f>ROUND('Übersicht'!$B$16*D16,2)</f>
        <v>2480.12</v>
      </c>
      <c r="H16" s="15">
        <f>ROUND('Übersicht'!$B$17*F16,2)</f>
        <v>768.98</v>
      </c>
      <c r="I16" s="15">
        <f t="shared" si="1"/>
        <v>3249.1</v>
      </c>
      <c r="J16" s="15">
        <f>Mieter!I16</f>
        <v>3600</v>
      </c>
      <c r="K16" s="15">
        <f t="shared" si="2"/>
        <v>350.9</v>
      </c>
      <c r="L16" s="26" t="str">
        <f t="shared" si="3"/>
        <v>Guthaben</v>
      </c>
    </row>
    <row r="17">
      <c r="A17" s="22" t="str">
        <f>Mieter!C17</f>
        <v>Oluwaseun Adeyemi</v>
      </c>
      <c r="B17" s="22" t="str">
        <f>Mieter!A17</f>
        <v>WE 12</v>
      </c>
      <c r="C17" s="28">
        <f>Mieter!D17</f>
        <v>60</v>
      </c>
      <c r="D17" s="39">
        <f>Mieter!D17/'Übersicht'!$B$10</f>
        <v>0.06802721088</v>
      </c>
      <c r="E17" s="29">
        <f>Mieter!E17</f>
        <v>2</v>
      </c>
      <c r="F17" s="39">
        <f>Mieter!E17/'Übersicht'!$B$11</f>
        <v>0.08333333333</v>
      </c>
      <c r="G17" s="31">
        <f>ROUND('Übersicht'!$B$16*D17,2)</f>
        <v>1417.21</v>
      </c>
      <c r="H17" s="31">
        <f>ROUND('Übersicht'!$B$17*F17,2)</f>
        <v>768.98</v>
      </c>
      <c r="I17" s="31">
        <f t="shared" si="1"/>
        <v>2186.19</v>
      </c>
      <c r="J17" s="31">
        <f>Mieter!I17</f>
        <v>1980</v>
      </c>
      <c r="K17" s="31">
        <f t="shared" si="2"/>
        <v>-206.19</v>
      </c>
      <c r="L17" s="29" t="str">
        <f t="shared" si="3"/>
        <v>Nachzahlung</v>
      </c>
    </row>
    <row r="18">
      <c r="A18" s="32" t="s">
        <v>129</v>
      </c>
      <c r="C18" s="33">
        <f>SUM(C6:C17)</f>
        <v>882</v>
      </c>
      <c r="G18" s="35">
        <f t="shared" ref="G18:K18" si="4">SUM(G6:G17)</f>
        <v>20832.97</v>
      </c>
      <c r="H18" s="35">
        <f t="shared" si="4"/>
        <v>9227.76</v>
      </c>
      <c r="I18" s="35">
        <f t="shared" si="4"/>
        <v>30060.73</v>
      </c>
      <c r="J18" s="35">
        <f t="shared" si="4"/>
        <v>29580</v>
      </c>
      <c r="K18" s="35">
        <f t="shared" si="4"/>
        <v>-480.73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L1"/>
    <mergeCell ref="A2:L2"/>
    <mergeCell ref="A3:L3"/>
    <mergeCell ref="A4:L4"/>
  </mergeCells>
  <hyperlinks>
    <hyperlink r:id="rId1" ref="A2"/>
  </hyperlinks>
  <printOptions/>
  <pageMargins bottom="1.0" footer="0.0" header="0.0" left="0.75" right="0.75" top="1.0"/>
  <pageSetup orientation="landscape"/>
  <drawing r:id="rId2"/>
</worksheet>
</file>